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I:\STANDARDS\Engineering Procedures\Eng-Fees\Development_Impact\"/>
    </mc:Choice>
  </mc:AlternateContent>
  <xr:revisionPtr revIDLastSave="0" documentId="13_ncr:1_{F9151658-00CC-4BDE-AFD2-31E32D4D5CA5}" xr6:coauthVersionLast="47" xr6:coauthVersionMax="47" xr10:uidLastSave="{00000000-0000-0000-0000-000000000000}"/>
  <workbookProtection workbookAlgorithmName="SHA-512" workbookHashValue="k/OpsE3bB97DmwbV/uoIuxKxQTGYtPHMah34Es/R+6BT54L1Dx4WWdL/boVbgHEbmfKO+/MTRf5siikwtNIlqw==" workbookSaltValue="RM4wgVGgbtaBvvFY3aNcVg==" workbookSpinCount="100000" lockStructure="1"/>
  <bookViews>
    <workbookView xWindow="30420" yWindow="1545" windowWidth="21600" windowHeight="11295" xr2:uid="{00000000-000D-0000-FFFF-FFFF00000000}"/>
  </bookViews>
  <sheets>
    <sheet name="Current Eng Impact Fees" sheetId="11" r:id="rId1"/>
    <sheet name="Prior to Nov 22, 2020" sheetId="13" r:id="rId2"/>
  </sheets>
  <definedNames>
    <definedName name="_xlnm.Print_Area" localSheetId="0">'Current Eng Impact Fees'!$A$1:$J$39</definedName>
    <definedName name="_xlnm.Print_Area" localSheetId="1">'Prior to Nov 22, 2020'!$A$1:$I$39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3" l="1"/>
  <c r="C21" i="13"/>
  <c r="O24" i="11"/>
  <c r="O25" i="11"/>
  <c r="O26" i="11"/>
  <c r="O28" i="11"/>
  <c r="O29" i="11"/>
  <c r="O30" i="11"/>
  <c r="O31" i="11"/>
  <c r="O32" i="11"/>
  <c r="O33" i="11"/>
  <c r="O34" i="11"/>
  <c r="D28" i="13" l="1"/>
  <c r="G28" i="13"/>
  <c r="H32" i="13"/>
  <c r="I29" i="11"/>
  <c r="E39" i="13"/>
  <c r="A39" i="13"/>
  <c r="H37" i="13"/>
  <c r="G37" i="13"/>
  <c r="D37" i="13"/>
  <c r="B37" i="13"/>
  <c r="H36" i="13"/>
  <c r="G36" i="13"/>
  <c r="D36" i="13"/>
  <c r="B36" i="13"/>
  <c r="H35" i="13"/>
  <c r="G35" i="13"/>
  <c r="D35" i="13"/>
  <c r="B35" i="13"/>
  <c r="H34" i="13"/>
  <c r="G34" i="13"/>
  <c r="I34" i="13" s="1"/>
  <c r="D34" i="13"/>
  <c r="B34" i="13"/>
  <c r="H33" i="13"/>
  <c r="G33" i="13"/>
  <c r="D33" i="13"/>
  <c r="B33" i="13"/>
  <c r="G32" i="13"/>
  <c r="D32" i="13"/>
  <c r="B32" i="13"/>
  <c r="H31" i="13"/>
  <c r="G31" i="13"/>
  <c r="D30" i="13"/>
  <c r="B30" i="13"/>
  <c r="H29" i="13"/>
  <c r="G29" i="13"/>
  <c r="D29" i="13"/>
  <c r="B29" i="13"/>
  <c r="H28" i="13"/>
  <c r="B28" i="13"/>
  <c r="H27" i="13"/>
  <c r="G27" i="13"/>
  <c r="D27" i="13"/>
  <c r="B27" i="13"/>
  <c r="D20" i="13"/>
  <c r="I19" i="13"/>
  <c r="H20" i="13" s="1"/>
  <c r="H19" i="13"/>
  <c r="M39" i="13"/>
  <c r="L39" i="13"/>
  <c r="N37" i="13"/>
  <c r="N36" i="13"/>
  <c r="N34" i="13"/>
  <c r="N33" i="13"/>
  <c r="N32" i="13"/>
  <c r="N31" i="13"/>
  <c r="N30" i="13"/>
  <c r="N29" i="13"/>
  <c r="N28" i="13"/>
  <c r="N26" i="13"/>
  <c r="N25" i="13"/>
  <c r="N24" i="13"/>
  <c r="I37" i="13" l="1"/>
  <c r="C35" i="13"/>
  <c r="I28" i="13"/>
  <c r="I32" i="13"/>
  <c r="C33" i="13"/>
  <c r="I33" i="13"/>
  <c r="C27" i="13"/>
  <c r="C29" i="13"/>
  <c r="I35" i="13"/>
  <c r="C36" i="13"/>
  <c r="I29" i="13"/>
  <c r="C30" i="13"/>
  <c r="C34" i="13"/>
  <c r="C37" i="13"/>
  <c r="I27" i="13"/>
  <c r="C28" i="13"/>
  <c r="C32" i="13"/>
  <c r="D39" i="13"/>
  <c r="I31" i="13"/>
  <c r="I36" i="13"/>
  <c r="F33" i="13"/>
  <c r="F35" i="13"/>
  <c r="F29" i="13"/>
  <c r="F27" i="13"/>
  <c r="F37" i="13"/>
  <c r="F32" i="13"/>
  <c r="F34" i="13"/>
  <c r="F28" i="13"/>
  <c r="F36" i="13"/>
  <c r="F30" i="13"/>
  <c r="I39" i="13" l="1"/>
  <c r="C40" i="13"/>
  <c r="C39" i="13"/>
  <c r="F39" i="13"/>
  <c r="H21" i="13" l="1"/>
  <c r="O37" i="11"/>
  <c r="O36" i="11"/>
  <c r="M39" i="11"/>
  <c r="N39" i="11"/>
  <c r="E33" i="11" l="1"/>
  <c r="G24" i="11"/>
  <c r="I37" i="11"/>
  <c r="I36" i="11"/>
  <c r="C40" i="11" l="1"/>
  <c r="I26" i="11" l="1"/>
  <c r="I25" i="11"/>
  <c r="I24" i="11"/>
  <c r="I34" i="11"/>
  <c r="I33" i="11"/>
  <c r="I32" i="11"/>
  <c r="I31" i="11"/>
  <c r="J31" i="11" s="1"/>
  <c r="I30" i="11"/>
  <c r="I28" i="11"/>
  <c r="E24" i="11"/>
  <c r="C20" i="11" l="1"/>
  <c r="C19" i="11"/>
  <c r="G35" i="11" l="1"/>
  <c r="H35" i="11" s="1"/>
  <c r="G34" i="11"/>
  <c r="H34" i="11" s="1"/>
  <c r="G33" i="11"/>
  <c r="H33" i="11" s="1"/>
  <c r="G32" i="11"/>
  <c r="H32" i="11" s="1"/>
  <c r="G31" i="11"/>
  <c r="H31" i="11" s="1"/>
  <c r="G30" i="11"/>
  <c r="H30" i="11" s="1"/>
  <c r="G29" i="11"/>
  <c r="H29" i="11" s="1"/>
  <c r="G27" i="11"/>
  <c r="H27" i="11" s="1"/>
  <c r="G26" i="11"/>
  <c r="H26" i="11" s="1"/>
  <c r="G25" i="11"/>
  <c r="H25" i="11" s="1"/>
  <c r="E35" i="11"/>
  <c r="E34" i="11"/>
  <c r="E32" i="11"/>
  <c r="E31" i="11"/>
  <c r="E30" i="11"/>
  <c r="E29" i="11"/>
  <c r="E27" i="11"/>
  <c r="E26" i="11"/>
  <c r="E25" i="11"/>
  <c r="H24" i="11"/>
  <c r="J24" i="11"/>
  <c r="J37" i="11"/>
  <c r="J36" i="11"/>
  <c r="J34" i="11"/>
  <c r="J33" i="11"/>
  <c r="J32" i="11"/>
  <c r="J30" i="11"/>
  <c r="J29" i="11"/>
  <c r="J28" i="11"/>
  <c r="J26" i="11"/>
  <c r="J25" i="11"/>
  <c r="J16" i="11"/>
  <c r="G39" i="11" l="1"/>
  <c r="F35" i="11"/>
  <c r="H39" i="11"/>
  <c r="F33" i="11"/>
  <c r="F25" i="11"/>
  <c r="F29" i="11"/>
  <c r="F34" i="11"/>
  <c r="F24" i="11"/>
  <c r="F30" i="11"/>
  <c r="F31" i="11"/>
  <c r="F26" i="11"/>
  <c r="F27" i="11"/>
  <c r="F32" i="11"/>
  <c r="J39" i="11"/>
  <c r="E39" i="11"/>
  <c r="F39" i="11" l="1"/>
  <c r="C3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Hallare</author>
    <author>Jason</author>
  </authors>
  <commentList>
    <comment ref="G16" authorId="0" shapeId="0" xr:uid="{00000000-0006-0000-0000-000001000000}">
      <text>
        <r>
          <rPr>
            <sz val="9"/>
            <color indexed="81"/>
            <rFont val="Tahoma"/>
            <family val="2"/>
          </rPr>
          <t>Existing Use credit does not apply for properties that have been vacant for the past 2 or more years.</t>
        </r>
      </text>
    </comment>
    <comment ref="G17" authorId="0" shapeId="0" xr:uid="{00000000-0006-0000-0000-000002000000}">
      <text>
        <r>
          <rPr>
            <sz val="9"/>
            <color indexed="81"/>
            <rFont val="Tahoma"/>
            <family val="2"/>
          </rPr>
          <t>Choose the appropriate side of the City that the project is located at.
Exception: Projects in Terrabay are exempt from East of 101 Sewer Impact Fee, but pay the Oyster Point Interchange and Citywide Transportation fees.</t>
        </r>
      </text>
    </comment>
    <comment ref="G18" authorId="1" shapeId="0" xr:uid="{FA42C3A2-8475-4A82-9B73-03224B239266}">
      <text>
        <r>
          <rPr>
            <sz val="9"/>
            <color indexed="81"/>
            <rFont val="Tahoma"/>
            <family val="2"/>
          </rPr>
          <t>Insert the ENR CCI for SF from the May prior to the current Fiscal Year. For example, use May 2020 for FY20-21.</t>
        </r>
      </text>
    </comment>
    <comment ref="E21" authorId="0" shapeId="0" xr:uid="{00000000-0006-0000-0000-000004000000}">
      <text>
        <r>
          <rPr>
            <sz val="9"/>
            <color indexed="81"/>
            <rFont val="Tahoma"/>
            <family val="2"/>
          </rPr>
          <t>The Oyster Point Interchange Fee accounts for existing use if the use was lawful and within 2 years of the planning application being deemed complete.
The credit is applied by taking existing use's fee reducing it from the proposed use's fee.
Resolution 71-1984
Resolution 102-1996
Resolution 152-1996</t>
        </r>
      </text>
    </comment>
    <comment ref="G21" authorId="0" shapeId="0" xr:uid="{00000000-0006-0000-0000-000005000000}">
      <text>
        <r>
          <rPr>
            <sz val="9"/>
            <color indexed="81"/>
            <rFont val="Tahoma"/>
            <family val="2"/>
          </rPr>
          <t>The East of 101 Sewer Impact Fee accounts for existing trip generation. The gallon generation may be reduced by the amount generation by the existing use which in turn will reduce the fee.
Also, there are certain exemptions to the fee identified in the East of 101 Sewer Resolution.
Resolution 97-2002</t>
        </r>
      </text>
    </comment>
    <comment ref="I21" authorId="0" shapeId="0" xr:uid="{00000000-0006-0000-0000-000006000000}">
      <text>
        <r>
          <rPr>
            <sz val="9"/>
            <color indexed="81"/>
            <rFont val="Tahoma"/>
            <family val="2"/>
          </rPr>
          <t>The Citywide Transporation Fee accounts for the existing use of a site or building if the use was active within the past 3 years. For existing use credit, the Fee is the different between the Existing Use's calculated fee and the Proposed Use's calculated fee.
Additionally, 1:1 in-lieu credits may be applied if the project provides transporation improvements identified in the Citywide Transporation Fee Study.
Exemption: Up until January 1, 2022, residential projects are exempt from this fee. After that date, this fee will apply to residential and non-residential projects.
Resolution 120-2020</t>
        </r>
      </text>
    </comment>
    <comment ref="A27" authorId="0" shapeId="0" xr:uid="{00000000-0006-0000-0000-000007000000}">
      <text>
        <r>
          <rPr>
            <sz val="9"/>
            <color indexed="81"/>
            <rFont val="Tahoma"/>
            <family val="2"/>
          </rPr>
          <t>For Hotels, provide both the area and the number of rooms.</t>
        </r>
      </text>
    </comment>
    <comment ref="A28" authorId="0" shapeId="0" xr:uid="{00000000-0006-0000-0000-000008000000}">
      <text>
        <r>
          <rPr>
            <sz val="9"/>
            <color indexed="81"/>
            <rFont val="Tahoma"/>
            <family val="2"/>
          </rPr>
          <t>For Hotels, provide both the area and the number of rooms.</t>
        </r>
      </text>
    </comment>
    <comment ref="A35" authorId="0" shapeId="0" xr:uid="{00000000-0006-0000-0000-00000C000000}">
      <text>
        <r>
          <rPr>
            <sz val="9"/>
            <color indexed="81"/>
            <rFont val="Tahoma"/>
            <family val="2"/>
          </rPr>
          <t>For Residential, provide both the total residential area as well as the units of each type.</t>
        </r>
      </text>
    </comment>
    <comment ref="A36" authorId="0" shapeId="0" xr:uid="{00000000-0006-0000-0000-00000D000000}">
      <text>
        <r>
          <rPr>
            <sz val="9"/>
            <color indexed="81"/>
            <rFont val="Tahoma"/>
            <family val="2"/>
          </rPr>
          <t>For Residential, provide both the total residential area as well as the units of each type.</t>
        </r>
      </text>
    </comment>
    <comment ref="A37" authorId="0" shapeId="0" xr:uid="{00000000-0006-0000-0000-00000E000000}">
      <text>
        <r>
          <rPr>
            <sz val="9"/>
            <color indexed="81"/>
            <rFont val="Tahoma"/>
            <family val="2"/>
          </rPr>
          <t>For Residential, provide both the total residential area as well as the units of each type.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s>
  <commentList>
    <comment ref="D21" authorId="0" shapeId="0" xr:uid="{CA2A50F6-8CF5-4921-92B6-71E087580B90}">
      <text>
        <r>
          <rPr>
            <sz val="9"/>
            <color indexed="81"/>
            <rFont val="Tahoma"/>
            <family val="2"/>
          </rPr>
          <t>Insert the ENR CCI from the May just prior to the current Fiscal Year. For example, use May 2020 for FY20-21.</t>
        </r>
      </text>
    </comment>
  </commentList>
</comments>
</file>

<file path=xl/sharedStrings.xml><?xml version="1.0" encoding="utf-8"?>
<sst xmlns="http://schemas.openxmlformats.org/spreadsheetml/2006/main" count="166" uniqueCount="83">
  <si>
    <t>TOTAL IMPACT FEES</t>
  </si>
  <si>
    <t>General Office</t>
  </si>
  <si>
    <t>General Commercial</t>
  </si>
  <si>
    <t>Warehouse</t>
  </si>
  <si>
    <t>General Industrial</t>
  </si>
  <si>
    <t>Manufacturing</t>
  </si>
  <si>
    <t>Restaurant (Dining House)</t>
  </si>
  <si>
    <t>Restaurant (High-Turnover)</t>
  </si>
  <si>
    <t>ADT Trip Rate 
Per 1,000 GSF</t>
  </si>
  <si>
    <t>Land Use Areas</t>
  </si>
  <si>
    <t>Land Uses</t>
  </si>
  <si>
    <t>Sub-Fee</t>
  </si>
  <si>
    <t>Fee per Trip</t>
  </si>
  <si>
    <t>Fee per Gallon</t>
  </si>
  <si>
    <t>Hotel (Area)</t>
  </si>
  <si>
    <t>Hotel (Rooms)</t>
  </si>
  <si>
    <t>Fee per Unit</t>
  </si>
  <si>
    <t>Recreational Club</t>
  </si>
  <si>
    <t>Gallons</t>
  </si>
  <si>
    <t>Existing Use within 2 years?</t>
  </si>
  <si>
    <t>ENR Construction Cost Index:</t>
  </si>
  <si>
    <t>CITY OF SOUTH SAN FRANCISCO</t>
  </si>
  <si>
    <t>Completed By:</t>
  </si>
  <si>
    <t>*City Staff*</t>
  </si>
  <si>
    <t>Planning Project #:</t>
  </si>
  <si>
    <t>*P##-####*</t>
  </si>
  <si>
    <t>*Applicant*</t>
  </si>
  <si>
    <t>Existing Area</t>
  </si>
  <si>
    <t>Proposed Area</t>
  </si>
  <si>
    <t>APPLICANT INFORMATION</t>
  </si>
  <si>
    <t>FOR CITY STAFF TO COMPLETE</t>
  </si>
  <si>
    <t>Guidelines:</t>
  </si>
  <si>
    <t>Applicant to fill out yellow boxes.</t>
  </si>
  <si>
    <t>City Staff to fill out orange boxes.</t>
  </si>
  <si>
    <t>Auto-populated boxes are in grey.</t>
  </si>
  <si>
    <t>Final fee will be in green box.</t>
  </si>
  <si>
    <t>Trips Generated</t>
  </si>
  <si>
    <t>Generation
(4 Gal / 10 GSF)</t>
  </si>
  <si>
    <t>Research &amp; Development (R&amp;D)</t>
  </si>
  <si>
    <t>*mm/dd/yyyy*</t>
  </si>
  <si>
    <t>Project Location</t>
  </si>
  <si>
    <t>(GSF/Units)</t>
  </si>
  <si>
    <t>Trips</t>
  </si>
  <si>
    <t>Oyster Point Interchange</t>
  </si>
  <si>
    <t>East of 101 Sewer</t>
  </si>
  <si>
    <t>Citywide Transportation</t>
  </si>
  <si>
    <t>Net Change
(GSF / Units)</t>
  </si>
  <si>
    <t>Residential (Area)</t>
  </si>
  <si>
    <t>Residential (Single Family Units)</t>
  </si>
  <si>
    <t>Residential (Multi-Family Units)</t>
  </si>
  <si>
    <t>Assessment Date:</t>
  </si>
  <si>
    <t>OP Int</t>
  </si>
  <si>
    <t>E101 Sew</t>
  </si>
  <si>
    <t>CW Trans</t>
  </si>
  <si>
    <t>Total Building Area (GSF):</t>
  </si>
  <si>
    <t>Developer / Applicant:</t>
  </si>
  <si>
    <t xml:space="preserve">Project Name / Address:  </t>
  </si>
  <si>
    <t>*Project Name/ Address*</t>
  </si>
  <si>
    <t>Total Residential Units:</t>
  </si>
  <si>
    <t>Color Coding Legend:</t>
  </si>
  <si>
    <t>FEE UPDATE TABLE
Apply Annual Updates Here</t>
  </si>
  <si>
    <t>No</t>
  </si>
  <si>
    <t>Engineering Fees are based on the ENR CCI. Preliminary fees will be determined prior to Planning Approval and included on project Conditions. Official fee shall be calculated and paid prior to Building Permit Issuance.</t>
  </si>
  <si>
    <t>(GSF)</t>
  </si>
  <si>
    <t xml:space="preserve">Project:  </t>
  </si>
  <si>
    <t>*Address/Project Name*</t>
  </si>
  <si>
    <t>Developer/Applicant:</t>
  </si>
  <si>
    <t>Area (sf):</t>
  </si>
  <si>
    <t>Date:</t>
  </si>
  <si>
    <t>TOTAL BUILDING AREA</t>
  </si>
  <si>
    <t>ENR Construction Cost Index (SF):</t>
  </si>
  <si>
    <t>Oyster Point Interchange Impact</t>
  </si>
  <si>
    <t>East of 101 Sewer Impact</t>
  </si>
  <si>
    <t xml:space="preserve">East of 101 Traffic Impact </t>
  </si>
  <si>
    <t>Accounts for existing use if the use was lawful and within 2 years of the planning application</t>
  </si>
  <si>
    <t>Accounts for existing trip generation.
Also, has certain exemptions, read resolution.</t>
  </si>
  <si>
    <t>Net Change
(GSF / Rooms)</t>
  </si>
  <si>
    <t>ENGINEERING IMPACT FEES CALCULATOR (Version 2)</t>
  </si>
  <si>
    <t>Applicable to all projects Entitled or Vested prior to November 22, 2020</t>
  </si>
  <si>
    <t>Applicable to all projects Entitled or Vested on or after November 22, 2020</t>
  </si>
  <si>
    <t>Engineering Development Fees are based on the corresponding Resolutions and adjusted by ENR CCI for San Francisco.  
The effective fee rate for a project is set from the date a planning application is deemed complete or (for tenant improvements) the date a project is obtaining a building permit. 
Preliminary fees will be determined prior to Planning Approval and included on project Conditions. 
Official fee shall be calculated and paid prior to Building Permit Issuance.
This calculator may be used for single-property development or multi-property/multi-building developments.</t>
  </si>
  <si>
    <t xml:space="preserve">ENGINEERING IMPACT FEES CALCULATOR (Version 1) </t>
  </si>
  <si>
    <t>West of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</si>
</sst>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quot;$&quot;#,##0.00"/>
    <numFmt numFmtId="165"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sz val="12"/>
      <color theme="0"/>
      <name val="Calibri"/>
      <family val="2"/>
      <scheme val="minor"/>
    </font>
    <font>
      <sz val="9"/>
      <color indexed="81"/>
      <name val="Tahoma"/>
      <family val="2"/>
    </font>
    <font>
      <b/>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6"/>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214">
    <xf numFmtId="0" fontId="0" fillId="0" borderId="0" xfId="0"/>
    <xf numFmtId="164" fontId="0" fillId="7" borderId="0" xfId="0" applyNumberFormat="1" applyFill="1" applyAlignment="1">
      <alignment horizontal="center"/>
    </xf>
    <xf numFmtId="0" fontId="0" fillId="7" borderId="7" xfId="0" applyFill="1" applyBorder="1" applyAlignment="1">
      <alignment horizontal="center"/>
    </xf>
    <xf numFmtId="44" fontId="0" fillId="7" borderId="9" xfId="0" applyNumberFormat="1" applyFill="1" applyBorder="1"/>
    <xf numFmtId="0" fontId="0" fillId="7" borderId="10" xfId="0" applyFill="1" applyBorder="1"/>
    <xf numFmtId="0" fontId="0" fillId="7" borderId="29" xfId="0" applyFill="1" applyBorder="1" applyAlignment="1">
      <alignment horizontal="center"/>
    </xf>
    <xf numFmtId="44" fontId="2" fillId="5" borderId="30" xfId="1" applyFont="1" applyFill="1" applyBorder="1"/>
    <xf numFmtId="0" fontId="2" fillId="3" borderId="37" xfId="0" applyFont="1" applyFill="1" applyBorder="1" applyAlignment="1">
      <alignment horizontal="center" wrapText="1"/>
    </xf>
    <xf numFmtId="0" fontId="2" fillId="3" borderId="38" xfId="0" applyFont="1" applyFill="1" applyBorder="1" applyAlignment="1">
      <alignment horizontal="center" wrapText="1"/>
    </xf>
    <xf numFmtId="0" fontId="0" fillId="6" borderId="11" xfId="0" applyFill="1" applyBorder="1"/>
    <xf numFmtId="0" fontId="0" fillId="8" borderId="10" xfId="0" applyFill="1" applyBorder="1"/>
    <xf numFmtId="3" fontId="0" fillId="2" borderId="24" xfId="0" applyNumberFormat="1" applyFill="1" applyBorder="1" applyAlignment="1" applyProtection="1">
      <alignment horizontal="center"/>
      <protection locked="0"/>
    </xf>
    <xf numFmtId="3" fontId="0" fillId="2" borderId="3" xfId="0" applyNumberFormat="1" applyFill="1" applyBorder="1" applyAlignment="1" applyProtection="1">
      <alignment horizontal="center"/>
      <protection locked="0"/>
    </xf>
    <xf numFmtId="3" fontId="0" fillId="2" borderId="23" xfId="0" applyNumberFormat="1" applyFill="1" applyBorder="1" applyAlignment="1" applyProtection="1">
      <alignment horizontal="center"/>
      <protection locked="0"/>
    </xf>
    <xf numFmtId="2" fontId="0" fillId="7" borderId="40" xfId="0" applyNumberFormat="1" applyFill="1" applyBorder="1" applyAlignment="1">
      <alignment horizontal="center"/>
    </xf>
    <xf numFmtId="0" fontId="0" fillId="7" borderId="0" xfId="0" applyFill="1" applyAlignment="1">
      <alignment horizontal="center"/>
    </xf>
    <xf numFmtId="3" fontId="0" fillId="2" borderId="33" xfId="0" applyNumberFormat="1" applyFill="1" applyBorder="1" applyAlignment="1" applyProtection="1">
      <alignment horizontal="center"/>
      <protection locked="0"/>
    </xf>
    <xf numFmtId="2" fontId="0" fillId="7" borderId="0" xfId="0" applyNumberFormat="1" applyFill="1" applyAlignment="1">
      <alignment horizontal="center"/>
    </xf>
    <xf numFmtId="0" fontId="2" fillId="3" borderId="44" xfId="0" applyFont="1" applyFill="1" applyBorder="1" applyAlignment="1">
      <alignment horizontal="center" wrapText="1"/>
    </xf>
    <xf numFmtId="0" fontId="2" fillId="3" borderId="10" xfId="0" applyFont="1" applyFill="1" applyBorder="1" applyAlignment="1">
      <alignment horizontal="center" wrapText="1"/>
    </xf>
    <xf numFmtId="3" fontId="0" fillId="2" borderId="41" xfId="0" applyNumberFormat="1" applyFill="1" applyBorder="1" applyAlignment="1" applyProtection="1">
      <alignment horizontal="center"/>
      <protection locked="0"/>
    </xf>
    <xf numFmtId="3" fontId="0" fillId="2" borderId="2" xfId="0" applyNumberFormat="1" applyFill="1" applyBorder="1" applyAlignment="1" applyProtection="1">
      <alignment horizontal="center"/>
      <protection locked="0"/>
    </xf>
    <xf numFmtId="165" fontId="0" fillId="9" borderId="7" xfId="0" applyNumberFormat="1" applyFill="1" applyBorder="1" applyAlignment="1">
      <alignment horizontal="center" vertical="center"/>
    </xf>
    <xf numFmtId="2" fontId="0" fillId="9" borderId="0" xfId="0" applyNumberFormat="1" applyFill="1" applyAlignment="1">
      <alignment horizontal="center"/>
    </xf>
    <xf numFmtId="44" fontId="0" fillId="9" borderId="29" xfId="0" applyNumberFormat="1" applyFill="1" applyBorder="1" applyAlignment="1">
      <alignment horizontal="center" vertical="center"/>
    </xf>
    <xf numFmtId="164" fontId="0" fillId="9" borderId="0" xfId="0" applyNumberFormat="1" applyFill="1" applyAlignment="1">
      <alignment horizontal="center"/>
    </xf>
    <xf numFmtId="3" fontId="0" fillId="9" borderId="7" xfId="0" applyNumberFormat="1" applyFill="1" applyBorder="1" applyAlignment="1">
      <alignment horizontal="center" vertical="center"/>
    </xf>
    <xf numFmtId="44" fontId="0" fillId="9" borderId="29" xfId="0" applyNumberFormat="1" applyFill="1" applyBorder="1" applyAlignment="1">
      <alignment horizontal="center"/>
    </xf>
    <xf numFmtId="2" fontId="0" fillId="9" borderId="28" xfId="0" applyNumberFormat="1" applyFill="1" applyBorder="1" applyAlignment="1">
      <alignment horizontal="center"/>
    </xf>
    <xf numFmtId="164" fontId="0" fillId="9" borderId="28" xfId="0" applyNumberFormat="1" applyFill="1" applyBorder="1" applyAlignment="1">
      <alignment horizontal="center"/>
    </xf>
    <xf numFmtId="3" fontId="0" fillId="0" borderId="0" xfId="0" applyNumberFormat="1" applyAlignment="1">
      <alignment horizontal="left" vertical="top"/>
    </xf>
    <xf numFmtId="0" fontId="0" fillId="0" borderId="0" xfId="0" quotePrefix="1"/>
    <xf numFmtId="0" fontId="0" fillId="8" borderId="1" xfId="0" applyFill="1" applyBorder="1" applyAlignment="1" applyProtection="1">
      <alignment horizontal="center"/>
      <protection locked="0"/>
    </xf>
    <xf numFmtId="0" fontId="0" fillId="0" borderId="0" xfId="0" applyAlignment="1">
      <alignment horizontal="left" vertical="top" wrapText="1"/>
    </xf>
    <xf numFmtId="0" fontId="0" fillId="0" borderId="16" xfId="0" applyBorder="1" applyAlignment="1">
      <alignment horizontal="center"/>
    </xf>
    <xf numFmtId="165" fontId="0" fillId="10" borderId="7" xfId="0" applyNumberFormat="1" applyFill="1" applyBorder="1" applyAlignment="1">
      <alignment horizontal="center" vertical="center"/>
    </xf>
    <xf numFmtId="44" fontId="0" fillId="10" borderId="29" xfId="0" applyNumberFormat="1" applyFill="1" applyBorder="1" applyAlignment="1">
      <alignment horizontal="center" vertical="center"/>
    </xf>
    <xf numFmtId="3" fontId="0" fillId="10" borderId="7" xfId="0" applyNumberFormat="1" applyFill="1" applyBorder="1" applyAlignment="1">
      <alignment horizontal="center" vertical="center"/>
    </xf>
    <xf numFmtId="44" fontId="0" fillId="10" borderId="29" xfId="0" applyNumberFormat="1" applyFill="1" applyBorder="1" applyAlignment="1">
      <alignment horizontal="center"/>
    </xf>
    <xf numFmtId="165" fontId="0" fillId="10" borderId="27" xfId="0" applyNumberFormat="1" applyFill="1" applyBorder="1" applyAlignment="1">
      <alignment horizontal="center" vertical="center"/>
    </xf>
    <xf numFmtId="44" fontId="0" fillId="10" borderId="22" xfId="0" applyNumberFormat="1" applyFill="1" applyBorder="1" applyAlignment="1">
      <alignment horizontal="center" vertical="center"/>
    </xf>
    <xf numFmtId="3" fontId="0" fillId="9" borderId="27" xfId="0" applyNumberFormat="1" applyFill="1" applyBorder="1" applyAlignment="1">
      <alignment horizontal="center" vertical="center"/>
    </xf>
    <xf numFmtId="44" fontId="0" fillId="9" borderId="22" xfId="0" applyNumberFormat="1" applyFill="1" applyBorder="1" applyAlignment="1">
      <alignment horizontal="center"/>
    </xf>
    <xf numFmtId="0" fontId="0" fillId="9" borderId="10" xfId="0" applyFill="1" applyBorder="1"/>
    <xf numFmtId="0" fontId="0" fillId="2" borderId="10" xfId="0" applyFill="1" applyBorder="1"/>
    <xf numFmtId="0" fontId="0" fillId="6" borderId="10" xfId="0" applyFill="1" applyBorder="1" applyAlignment="1">
      <alignment horizontal="left"/>
    </xf>
    <xf numFmtId="0" fontId="0" fillId="0" borderId="9" xfId="0" applyBorder="1"/>
    <xf numFmtId="0" fontId="0" fillId="0" borderId="10" xfId="0" applyBorder="1"/>
    <xf numFmtId="0" fontId="0" fillId="9" borderId="10" xfId="0" applyFill="1" applyBorder="1" applyAlignment="1">
      <alignment horizontal="left"/>
    </xf>
    <xf numFmtId="44" fontId="0" fillId="9" borderId="36" xfId="0" applyNumberFormat="1" applyFill="1" applyBorder="1" applyAlignment="1">
      <alignment horizontal="center" vertical="center"/>
    </xf>
    <xf numFmtId="0" fontId="0" fillId="7" borderId="46" xfId="0" applyFill="1" applyBorder="1" applyAlignment="1">
      <alignment horizontal="center"/>
    </xf>
    <xf numFmtId="2" fontId="0" fillId="7" borderId="38" xfId="0" applyNumberFormat="1" applyFill="1" applyBorder="1" applyAlignment="1">
      <alignment horizontal="center"/>
    </xf>
    <xf numFmtId="164" fontId="0" fillId="11" borderId="0" xfId="0" applyNumberFormat="1" applyFill="1" applyAlignment="1">
      <alignment horizontal="center"/>
    </xf>
    <xf numFmtId="164" fontId="0" fillId="11" borderId="28" xfId="0" applyNumberFormat="1" applyFill="1" applyBorder="1" applyAlignment="1">
      <alignment horizontal="center"/>
    </xf>
    <xf numFmtId="164" fontId="0" fillId="11" borderId="9" xfId="0" applyNumberFormat="1" applyFill="1" applyBorder="1" applyAlignment="1">
      <alignment horizontal="center"/>
    </xf>
    <xf numFmtId="4" fontId="0" fillId="9" borderId="4" xfId="0" applyNumberFormat="1" applyFill="1" applyBorder="1" applyAlignment="1">
      <alignment horizontal="center" vertical="center"/>
    </xf>
    <xf numFmtId="4" fontId="0" fillId="9" borderId="7" xfId="0" applyNumberFormat="1" applyFill="1" applyBorder="1" applyAlignment="1">
      <alignment horizontal="center" vertical="center"/>
    </xf>
    <xf numFmtId="164" fontId="0" fillId="11" borderId="47" xfId="0" applyNumberFormat="1" applyFill="1" applyBorder="1" applyAlignment="1">
      <alignment horizontal="center"/>
    </xf>
    <xf numFmtId="0" fontId="0" fillId="8" borderId="21" xfId="0" applyFill="1" applyBorder="1" applyAlignment="1" applyProtection="1">
      <alignment horizontal="center"/>
      <protection locked="0"/>
    </xf>
    <xf numFmtId="3" fontId="0" fillId="2" borderId="16" xfId="0" applyNumberFormat="1" applyFill="1" applyBorder="1" applyAlignment="1" applyProtection="1">
      <alignment horizontal="center"/>
      <protection locked="0"/>
    </xf>
    <xf numFmtId="3" fontId="0" fillId="2" borderId="19" xfId="0" applyNumberFormat="1" applyFill="1" applyBorder="1" applyAlignment="1" applyProtection="1">
      <alignment horizontal="center"/>
      <protection locked="0"/>
    </xf>
    <xf numFmtId="4" fontId="0" fillId="0" borderId="18" xfId="0" applyNumberFormat="1" applyBorder="1" applyAlignment="1">
      <alignment horizontal="center"/>
    </xf>
    <xf numFmtId="17" fontId="0" fillId="0" borderId="19" xfId="0" applyNumberFormat="1" applyBorder="1" applyAlignment="1">
      <alignment horizontal="center"/>
    </xf>
    <xf numFmtId="0" fontId="2" fillId="0" borderId="4" xfId="0" applyFont="1" applyBorder="1"/>
    <xf numFmtId="0" fontId="0" fillId="0" borderId="5" xfId="0" applyBorder="1"/>
    <xf numFmtId="0" fontId="0" fillId="0" borderId="6" xfId="0" applyBorder="1"/>
    <xf numFmtId="0" fontId="2" fillId="3" borderId="31" xfId="0" applyFont="1" applyFill="1" applyBorder="1" applyAlignment="1">
      <alignment horizontal="center" wrapText="1"/>
    </xf>
    <xf numFmtId="0" fontId="2" fillId="3" borderId="11" xfId="0" applyFont="1" applyFill="1" applyBorder="1" applyAlignment="1">
      <alignment horizontal="center" wrapText="1"/>
    </xf>
    <xf numFmtId="3" fontId="0" fillId="2" borderId="22" xfId="0" applyNumberFormat="1" applyFill="1" applyBorder="1" applyAlignment="1" applyProtection="1">
      <alignment horizontal="center"/>
      <protection locked="0"/>
    </xf>
    <xf numFmtId="0" fontId="0" fillId="2" borderId="27" xfId="0" applyFill="1" applyBorder="1"/>
    <xf numFmtId="0" fontId="0" fillId="2" borderId="28" xfId="0" applyFill="1" applyBorder="1"/>
    <xf numFmtId="0" fontId="0" fillId="7" borderId="41" xfId="0" applyFill="1" applyBorder="1" applyAlignment="1">
      <alignment horizontal="left"/>
    </xf>
    <xf numFmtId="0" fontId="0" fillId="7" borderId="48" xfId="0" applyFill="1" applyBorder="1"/>
    <xf numFmtId="0" fontId="0" fillId="8" borderId="9" xfId="0" applyFill="1" applyBorder="1"/>
    <xf numFmtId="0" fontId="0" fillId="6" borderId="49" xfId="0" applyFill="1" applyBorder="1" applyAlignment="1">
      <alignment horizontal="left"/>
    </xf>
    <xf numFmtId="3" fontId="0" fillId="0" borderId="12" xfId="0" applyNumberFormat="1" applyBorder="1" applyAlignment="1">
      <alignment horizontal="center"/>
    </xf>
    <xf numFmtId="3" fontId="0" fillId="0" borderId="53" xfId="0" applyNumberFormat="1" applyBorder="1" applyAlignment="1">
      <alignment horizontal="center"/>
    </xf>
    <xf numFmtId="3" fontId="0" fillId="0" borderId="0" xfId="0" applyNumberFormat="1" applyAlignment="1">
      <alignment horizontal="center"/>
    </xf>
    <xf numFmtId="4" fontId="0" fillId="12" borderId="18" xfId="0" applyNumberFormat="1" applyFill="1" applyBorder="1" applyAlignment="1">
      <alignment horizontal="center"/>
    </xf>
    <xf numFmtId="17" fontId="0" fillId="12" borderId="11" xfId="0" applyNumberFormat="1" applyFill="1" applyBorder="1" applyAlignment="1">
      <alignment horizontal="center"/>
    </xf>
    <xf numFmtId="0" fontId="0" fillId="7" borderId="4" xfId="0" applyFill="1" applyBorder="1" applyAlignment="1">
      <alignment horizontal="center" wrapText="1"/>
    </xf>
    <xf numFmtId="0" fontId="0" fillId="7" borderId="54" xfId="0" applyFill="1" applyBorder="1" applyAlignment="1">
      <alignment horizontal="center" wrapText="1"/>
    </xf>
    <xf numFmtId="0" fontId="0" fillId="7" borderId="52" xfId="0" applyFill="1" applyBorder="1" applyAlignment="1">
      <alignment horizontal="center" wrapText="1"/>
    </xf>
    <xf numFmtId="0" fontId="0" fillId="7" borderId="25" xfId="0" applyFill="1" applyBorder="1" applyAlignment="1">
      <alignment horizontal="center" wrapText="1"/>
    </xf>
    <xf numFmtId="2" fontId="0" fillId="7" borderId="39" xfId="0" applyNumberFormat="1" applyFill="1" applyBorder="1" applyAlignment="1">
      <alignment horizontal="center"/>
    </xf>
    <xf numFmtId="2" fontId="0" fillId="7" borderId="55" xfId="0" applyNumberFormat="1" applyFill="1" applyBorder="1" applyAlignment="1">
      <alignment horizontal="center"/>
    </xf>
    <xf numFmtId="44" fontId="0" fillId="7" borderId="8" xfId="0" applyNumberFormat="1" applyFill="1" applyBorder="1" applyAlignment="1">
      <alignment horizontal="center"/>
    </xf>
    <xf numFmtId="165" fontId="0" fillId="7" borderId="7" xfId="0" applyNumberFormat="1" applyFill="1" applyBorder="1" applyAlignment="1">
      <alignment horizontal="center" vertical="center"/>
    </xf>
    <xf numFmtId="44" fontId="0" fillId="7" borderId="29" xfId="0" applyNumberFormat="1" applyFill="1" applyBorder="1" applyAlignment="1">
      <alignment horizontal="center" vertical="center"/>
    </xf>
    <xf numFmtId="3" fontId="0" fillId="7" borderId="7" xfId="0" applyNumberFormat="1" applyFill="1" applyBorder="1" applyAlignment="1">
      <alignment horizontal="center" vertical="center"/>
    </xf>
    <xf numFmtId="44" fontId="0" fillId="7" borderId="29" xfId="0" applyNumberFormat="1" applyFill="1" applyBorder="1" applyAlignment="1">
      <alignment horizontal="center"/>
    </xf>
    <xf numFmtId="2" fontId="0" fillId="7" borderId="7" xfId="0" applyNumberFormat="1" applyFill="1" applyBorder="1" applyAlignment="1">
      <alignment horizontal="center"/>
    </xf>
    <xf numFmtId="0" fontId="0" fillId="7" borderId="8" xfId="0" applyFill="1" applyBorder="1"/>
    <xf numFmtId="2" fontId="0" fillId="7" borderId="27" xfId="0" applyNumberFormat="1" applyFill="1" applyBorder="1" applyAlignment="1">
      <alignment horizontal="center"/>
    </xf>
    <xf numFmtId="2" fontId="0" fillId="7" borderId="24" xfId="0" applyNumberFormat="1" applyFill="1" applyBorder="1" applyAlignment="1">
      <alignment horizontal="center"/>
    </xf>
    <xf numFmtId="44" fontId="0" fillId="7" borderId="48" xfId="0" applyNumberFormat="1" applyFill="1" applyBorder="1" applyAlignment="1">
      <alignment horizontal="center"/>
    </xf>
    <xf numFmtId="165" fontId="0" fillId="7" borderId="27" xfId="0" applyNumberFormat="1" applyFill="1" applyBorder="1" applyAlignment="1">
      <alignment horizontal="center" vertical="center"/>
    </xf>
    <xf numFmtId="164" fontId="0" fillId="7" borderId="28" xfId="0" applyNumberFormat="1" applyFill="1" applyBorder="1" applyAlignment="1">
      <alignment horizontal="center"/>
    </xf>
    <xf numFmtId="44" fontId="0" fillId="7" borderId="22" xfId="0" applyNumberFormat="1" applyFill="1" applyBorder="1" applyAlignment="1">
      <alignment horizontal="center" vertical="center"/>
    </xf>
    <xf numFmtId="3" fontId="0" fillId="7" borderId="27" xfId="0" applyNumberFormat="1" applyFill="1" applyBorder="1" applyAlignment="1">
      <alignment horizontal="center" vertical="center"/>
    </xf>
    <xf numFmtId="44" fontId="0" fillId="7" borderId="22" xfId="0" applyNumberFormat="1" applyFill="1" applyBorder="1" applyAlignment="1">
      <alignment horizontal="center"/>
    </xf>
    <xf numFmtId="0" fontId="0" fillId="7" borderId="55" xfId="0" applyFill="1" applyBorder="1" applyAlignment="1">
      <alignment horizontal="center"/>
    </xf>
    <xf numFmtId="0" fontId="0" fillId="7" borderId="8" xfId="0" applyFill="1" applyBorder="1" applyAlignment="1">
      <alignment horizontal="center"/>
    </xf>
    <xf numFmtId="164" fontId="0" fillId="7" borderId="9" xfId="0" applyNumberFormat="1" applyFill="1" applyBorder="1" applyAlignment="1">
      <alignment horizontal="center"/>
    </xf>
    <xf numFmtId="165" fontId="0" fillId="7" borderId="9" xfId="0" applyNumberFormat="1" applyFill="1" applyBorder="1" applyAlignment="1">
      <alignment horizontal="center"/>
    </xf>
    <xf numFmtId="164" fontId="0" fillId="7" borderId="10" xfId="0" applyNumberFormat="1" applyFill="1" applyBorder="1" applyAlignment="1">
      <alignment horizontal="center"/>
    </xf>
    <xf numFmtId="0" fontId="3" fillId="4" borderId="7" xfId="0" applyFont="1" applyFill="1" applyBorder="1" applyAlignment="1">
      <alignment horizontal="center"/>
    </xf>
    <xf numFmtId="0" fontId="3" fillId="4" borderId="0" xfId="0" applyFont="1" applyFill="1" applyAlignment="1">
      <alignment horizontal="center"/>
    </xf>
    <xf numFmtId="0" fontId="3" fillId="4" borderId="8"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5" xfId="0" applyFont="1" applyBorder="1" applyAlignment="1">
      <alignment horizontal="center"/>
    </xf>
    <xf numFmtId="0" fontId="2" fillId="0" borderId="1"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14" fontId="0" fillId="8" borderId="1" xfId="0" applyNumberFormat="1" applyFill="1" applyBorder="1" applyAlignment="1" applyProtection="1">
      <alignment horizontal="center"/>
      <protection locked="0"/>
    </xf>
    <xf numFmtId="14" fontId="0" fillId="8" borderId="16" xfId="0" applyNumberFormat="1" applyFill="1" applyBorder="1" applyAlignment="1" applyProtection="1">
      <alignment horizontal="center"/>
      <protection locked="0"/>
    </xf>
    <xf numFmtId="0" fontId="0" fillId="8" borderId="21" xfId="0" applyFill="1" applyBorder="1" applyAlignment="1" applyProtection="1">
      <alignment horizontal="center"/>
      <protection locked="0"/>
    </xf>
    <xf numFmtId="0" fontId="0" fillId="8" borderId="22" xfId="0" applyFill="1" applyBorder="1" applyAlignment="1" applyProtection="1">
      <alignment horizontal="center"/>
      <protection locked="0"/>
    </xf>
    <xf numFmtId="0" fontId="2" fillId="3" borderId="12" xfId="0" applyFont="1" applyFill="1" applyBorder="1" applyAlignment="1">
      <alignment horizont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2" borderId="21"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35" xfId="0" applyFont="1" applyFill="1" applyBorder="1" applyAlignment="1">
      <alignment horizontal="center"/>
    </xf>
    <xf numFmtId="0" fontId="2" fillId="3" borderId="45" xfId="0" applyFont="1" applyFill="1"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14" fontId="0" fillId="2" borderId="1" xfId="0" applyNumberFormat="1" applyFill="1" applyBorder="1" applyAlignment="1" applyProtection="1">
      <alignment horizontal="center"/>
      <protection locked="0"/>
    </xf>
    <xf numFmtId="14" fontId="0" fillId="2" borderId="16" xfId="0" applyNumberFormat="1" applyFill="1" applyBorder="1" applyAlignment="1" applyProtection="1">
      <alignment horizontal="center"/>
      <protection locked="0"/>
    </xf>
    <xf numFmtId="3" fontId="0" fillId="2" borderId="1" xfId="0" applyNumberFormat="1" applyFill="1" applyBorder="1" applyAlignment="1" applyProtection="1">
      <alignment horizontal="center"/>
      <protection locked="0"/>
    </xf>
    <xf numFmtId="3" fontId="0" fillId="2" borderId="16" xfId="0" applyNumberFormat="1" applyFill="1" applyBorder="1" applyAlignment="1" applyProtection="1">
      <alignment horizontal="center"/>
      <protection locked="0"/>
    </xf>
    <xf numFmtId="3" fontId="0" fillId="2" borderId="18" xfId="0" applyNumberFormat="1" applyFill="1" applyBorder="1" applyAlignment="1" applyProtection="1">
      <alignment horizontal="center"/>
      <protection locked="0"/>
    </xf>
    <xf numFmtId="3" fontId="0" fillId="2" borderId="19" xfId="0" applyNumberFormat="1" applyFill="1" applyBorder="1" applyAlignment="1" applyProtection="1">
      <alignment horizontal="center"/>
      <protection locked="0"/>
    </xf>
    <xf numFmtId="0" fontId="0" fillId="0" borderId="15" xfId="0" applyBorder="1" applyAlignment="1">
      <alignment horizontal="center"/>
    </xf>
    <xf numFmtId="0" fontId="0" fillId="0" borderId="16" xfId="0" applyBorder="1" applyAlignment="1">
      <alignment horizontal="center"/>
    </xf>
    <xf numFmtId="0" fontId="0" fillId="0" borderId="42" xfId="0" applyBorder="1" applyAlignment="1">
      <alignment horizontal="center"/>
    </xf>
    <xf numFmtId="0" fontId="0" fillId="0" borderId="34" xfId="0" applyBorder="1" applyAlignment="1">
      <alignment horizontal="center"/>
    </xf>
    <xf numFmtId="0" fontId="0" fillId="0" borderId="43" xfId="0" applyBorder="1" applyAlignment="1">
      <alignment horizontal="center"/>
    </xf>
    <xf numFmtId="0" fontId="0" fillId="0" borderId="32" xfId="0" applyBorder="1" applyAlignment="1">
      <alignment horizontal="center"/>
    </xf>
    <xf numFmtId="44" fontId="6" fillId="6" borderId="4" xfId="1" applyFont="1" applyFill="1" applyBorder="1" applyAlignment="1">
      <alignment horizontal="center" vertical="center"/>
    </xf>
    <xf numFmtId="7" fontId="6" fillId="6" borderId="5" xfId="1" applyNumberFormat="1" applyFont="1" applyFill="1" applyBorder="1" applyAlignment="1">
      <alignment horizontal="center" vertical="center"/>
    </xf>
    <xf numFmtId="7" fontId="6" fillId="6" borderId="9" xfId="1" applyNumberFormat="1" applyFont="1" applyFill="1" applyBorder="1" applyAlignment="1">
      <alignment horizontal="center" vertical="center"/>
    </xf>
    <xf numFmtId="7" fontId="6" fillId="6" borderId="10" xfId="1"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4" fillId="4" borderId="9" xfId="0" applyFont="1" applyFill="1" applyBorder="1" applyAlignment="1">
      <alignment horizontal="center"/>
    </xf>
    <xf numFmtId="0" fontId="4" fillId="4" borderId="10" xfId="0" applyFont="1" applyFill="1" applyBorder="1" applyAlignment="1">
      <alignment horizontal="center"/>
    </xf>
    <xf numFmtId="0" fontId="4" fillId="4" borderId="11" xfId="0" applyFont="1" applyFill="1" applyBorder="1" applyAlignment="1">
      <alignment horizontal="center"/>
    </xf>
    <xf numFmtId="0" fontId="2" fillId="3" borderId="25" xfId="0" applyFont="1" applyFill="1" applyBorder="1" applyAlignment="1">
      <alignment horizontal="center"/>
    </xf>
    <xf numFmtId="0" fontId="2" fillId="3" borderId="26" xfId="0" applyFont="1" applyFill="1" applyBorder="1" applyAlignment="1">
      <alignment horizontal="center"/>
    </xf>
    <xf numFmtId="0" fontId="0" fillId="3" borderId="39" xfId="0" applyFill="1" applyBorder="1" applyAlignment="1">
      <alignment horizontal="center" wrapText="1"/>
    </xf>
    <xf numFmtId="0" fontId="0" fillId="3" borderId="9" xfId="0" applyFill="1" applyBorder="1" applyAlignment="1">
      <alignment horizontal="center" wrapText="1"/>
    </xf>
    <xf numFmtId="0" fontId="0" fillId="3" borderId="31" xfId="0" applyFill="1" applyBorder="1" applyAlignment="1">
      <alignment horizontal="center" wrapText="1"/>
    </xf>
    <xf numFmtId="0" fontId="0" fillId="3" borderId="11" xfId="0" applyFill="1" applyBorder="1" applyAlignment="1">
      <alignment horizontal="center" wrapText="1"/>
    </xf>
    <xf numFmtId="0" fontId="0" fillId="8" borderId="1" xfId="0" applyFill="1" applyBorder="1" applyAlignment="1" applyProtection="1">
      <alignment horizontal="center"/>
      <protection locked="0"/>
    </xf>
    <xf numFmtId="0" fontId="0" fillId="8" borderId="16" xfId="0" applyFill="1" applyBorder="1" applyAlignment="1" applyProtection="1">
      <alignment horizontal="center"/>
      <protection locked="0"/>
    </xf>
    <xf numFmtId="0" fontId="0" fillId="3" borderId="44" xfId="0" applyFill="1" applyBorder="1" applyAlignment="1">
      <alignment horizontal="center" wrapText="1"/>
    </xf>
    <xf numFmtId="0" fontId="0" fillId="3" borderId="10" xfId="0" applyFill="1" applyBorder="1" applyAlignment="1">
      <alignment horizontal="center" wrapText="1"/>
    </xf>
    <xf numFmtId="0" fontId="0" fillId="0" borderId="0" xfId="0" applyAlignment="1">
      <alignment horizontal="center" wrapText="1"/>
    </xf>
    <xf numFmtId="0" fontId="0" fillId="0" borderId="0" xfId="0" applyAlignment="1">
      <alignment horizontal="center"/>
    </xf>
    <xf numFmtId="0" fontId="0" fillId="3" borderId="44" xfId="0" applyFill="1" applyBorder="1" applyAlignment="1">
      <alignment horizontal="center"/>
    </xf>
    <xf numFmtId="0" fontId="0" fillId="3" borderId="10" xfId="0" applyFill="1" applyBorder="1" applyAlignment="1">
      <alignment horizontal="center"/>
    </xf>
    <xf numFmtId="0" fontId="0" fillId="7" borderId="7" xfId="0" applyFill="1" applyBorder="1" applyAlignment="1">
      <alignment horizontal="center" wrapText="1"/>
    </xf>
    <xf numFmtId="0" fontId="0" fillId="7" borderId="0" xfId="0" applyFill="1" applyAlignment="1">
      <alignment horizontal="center" wrapText="1"/>
    </xf>
    <xf numFmtId="0" fontId="0" fillId="7" borderId="8" xfId="0" applyFill="1" applyBorder="1" applyAlignment="1">
      <alignment horizontal="center" wrapText="1"/>
    </xf>
    <xf numFmtId="0" fontId="0" fillId="7" borderId="9" xfId="0" applyFill="1" applyBorder="1" applyAlignment="1">
      <alignment horizontal="center" wrapText="1"/>
    </xf>
    <xf numFmtId="0" fontId="0" fillId="7" borderId="10" xfId="0" applyFill="1" applyBorder="1" applyAlignment="1">
      <alignment horizontal="center" wrapText="1"/>
    </xf>
    <xf numFmtId="0" fontId="0" fillId="7" borderId="11" xfId="0" applyFill="1" applyBorder="1" applyAlignment="1">
      <alignment horizontal="center" wrapText="1"/>
    </xf>
    <xf numFmtId="0" fontId="0" fillId="7" borderId="0" xfId="0" applyFill="1" applyAlignment="1">
      <alignment horizontal="center"/>
    </xf>
    <xf numFmtId="0" fontId="0" fillId="7" borderId="8" xfId="0" applyFill="1" applyBorder="1" applyAlignment="1">
      <alignment horizontal="center"/>
    </xf>
    <xf numFmtId="0" fontId="0" fillId="7" borderId="9" xfId="0" applyFill="1" applyBorder="1" applyAlignment="1">
      <alignment horizontal="center"/>
    </xf>
    <xf numFmtId="0" fontId="0" fillId="7" borderId="10" xfId="0" applyFill="1" applyBorder="1" applyAlignment="1">
      <alignment horizontal="center"/>
    </xf>
    <xf numFmtId="0" fontId="0" fillId="7" borderId="11" xfId="0" applyFill="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3" fontId="0" fillId="2" borderId="33" xfId="0" applyNumberFormat="1" applyFill="1" applyBorder="1" applyAlignment="1" applyProtection="1">
      <alignment horizontal="center"/>
      <protection locked="0"/>
    </xf>
    <xf numFmtId="3" fontId="0" fillId="2" borderId="34" xfId="0" applyNumberFormat="1" applyFill="1" applyBorder="1" applyAlignment="1" applyProtection="1">
      <alignment horizontal="center"/>
      <protection locked="0"/>
    </xf>
    <xf numFmtId="0" fontId="2" fillId="0" borderId="50" xfId="0" applyFont="1" applyBorder="1" applyAlignment="1">
      <alignment horizontal="center"/>
    </xf>
    <xf numFmtId="0" fontId="2" fillId="0" borderId="51" xfId="0" applyFont="1" applyBorder="1" applyAlignment="1">
      <alignment horizontal="center"/>
    </xf>
    <xf numFmtId="0" fontId="0" fillId="2" borderId="51" xfId="0" applyFill="1" applyBorder="1" applyAlignment="1" applyProtection="1">
      <alignment horizontal="center"/>
      <protection locked="0"/>
    </xf>
    <xf numFmtId="0" fontId="0" fillId="2" borderId="52" xfId="0" applyFill="1" applyBorder="1" applyAlignment="1" applyProtection="1">
      <alignment horizontal="center"/>
      <protection locked="0"/>
    </xf>
    <xf numFmtId="0" fontId="2" fillId="3" borderId="36" xfId="0" applyFont="1" applyFill="1" applyBorder="1" applyAlignment="1">
      <alignment horizontal="center"/>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48" xfId="0" applyBorder="1" applyAlignment="1">
      <alignment horizontal="left" vertical="top" wrapText="1"/>
    </xf>
    <xf numFmtId="0" fontId="0" fillId="8" borderId="51" xfId="0" applyFill="1" applyBorder="1" applyAlignment="1" applyProtection="1">
      <alignment horizontal="center"/>
      <protection locked="0"/>
    </xf>
    <xf numFmtId="0" fontId="0" fillId="8" borderId="52" xfId="0" applyFill="1" applyBorder="1" applyAlignment="1" applyProtection="1">
      <alignment horizontal="center"/>
      <protection locked="0"/>
    </xf>
    <xf numFmtId="0" fontId="0" fillId="0" borderId="17" xfId="0" applyBorder="1" applyAlignment="1">
      <alignment horizontal="center"/>
    </xf>
    <xf numFmtId="0" fontId="0" fillId="0" borderId="19" xfId="0" applyBorder="1" applyAlignment="1">
      <alignment horizontal="center"/>
    </xf>
    <xf numFmtId="14" fontId="0" fillId="8" borderId="2" xfId="0" applyNumberFormat="1" applyFill="1" applyBorder="1" applyAlignment="1" applyProtection="1">
      <alignment horizontal="center"/>
      <protection locked="0"/>
    </xf>
    <xf numFmtId="14" fontId="0" fillId="8" borderId="32" xfId="0" applyNumberFormat="1" applyFill="1" applyBorder="1" applyAlignment="1" applyProtection="1">
      <alignment horizontal="center"/>
      <protection locked="0"/>
    </xf>
    <xf numFmtId="7" fontId="2" fillId="6" borderId="12" xfId="1" applyNumberFormat="1" applyFont="1" applyFill="1" applyBorder="1" applyAlignment="1">
      <alignment horizontal="center" vertical="center"/>
    </xf>
    <xf numFmtId="7" fontId="2" fillId="6" borderId="14" xfId="1" applyNumberFormat="1" applyFont="1" applyFill="1" applyBorder="1" applyAlignment="1">
      <alignment horizontal="center" vertical="center"/>
    </xf>
    <xf numFmtId="0" fontId="2" fillId="3" borderId="54" xfId="0" applyFont="1" applyFill="1" applyBorder="1" applyAlignment="1">
      <alignment horizontal="center"/>
    </xf>
    <xf numFmtId="14" fontId="0" fillId="2" borderId="2" xfId="0" applyNumberFormat="1" applyFill="1" applyBorder="1" applyAlignment="1" applyProtection="1">
      <alignment horizontal="center"/>
      <protection locked="0"/>
    </xf>
    <xf numFmtId="14" fontId="0" fillId="2" borderId="32" xfId="0" applyNumberFormat="1" applyFill="1" applyBorder="1" applyAlignment="1" applyProtection="1">
      <alignment horizontal="center"/>
      <protection locked="0"/>
    </xf>
  </cellXfs>
  <cellStyles count="2">
    <cellStyle name="Currency" xfId="1" builtinId="4"/>
    <cellStyle name="Normal" xfId="0" builtinId="0"/>
  </cellStyles>
  <dxfs count="4">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3"/>
  <sheetViews>
    <sheetView tabSelected="1" view="pageLayout" zoomScale="85" zoomScaleNormal="85" zoomScalePageLayoutView="85" workbookViewId="0">
      <selection activeCell="C24" sqref="C24"/>
    </sheetView>
  </sheetViews>
  <sheetFormatPr defaultRowHeight="15" x14ac:dyDescent="0.25"/>
  <cols>
    <col min="1" max="10" width="16.28515625" customWidth="1"/>
    <col min="12" max="12" width="32.28515625" hidden="1" customWidth="1"/>
    <col min="13" max="14" width="10.5703125" hidden="1" customWidth="1"/>
    <col min="15" max="15" width="11.7109375" hidden="1" customWidth="1"/>
    <col min="16" max="16" width="9.140625" customWidth="1"/>
  </cols>
  <sheetData>
    <row r="1" spans="1:10" ht="18.75" x14ac:dyDescent="0.3">
      <c r="A1" s="109" t="s">
        <v>21</v>
      </c>
      <c r="B1" s="110"/>
      <c r="C1" s="110"/>
      <c r="D1" s="110"/>
      <c r="E1" s="110"/>
      <c r="F1" s="110"/>
      <c r="G1" s="110"/>
      <c r="H1" s="110"/>
      <c r="I1" s="110"/>
      <c r="J1" s="111"/>
    </row>
    <row r="2" spans="1:10" ht="18.75" x14ac:dyDescent="0.3">
      <c r="A2" s="106" t="s">
        <v>81</v>
      </c>
      <c r="B2" s="107"/>
      <c r="C2" s="107"/>
      <c r="D2" s="107"/>
      <c r="E2" s="107"/>
      <c r="F2" s="107"/>
      <c r="G2" s="107"/>
      <c r="H2" s="107"/>
      <c r="I2" s="107"/>
      <c r="J2" s="108"/>
    </row>
    <row r="3" spans="1:10" ht="15" customHeight="1" thickBot="1" x14ac:dyDescent="0.3">
      <c r="A3" s="163" t="s">
        <v>79</v>
      </c>
      <c r="B3" s="164"/>
      <c r="C3" s="164"/>
      <c r="D3" s="164"/>
      <c r="E3" s="164"/>
      <c r="F3" s="164"/>
      <c r="G3" s="164"/>
      <c r="H3" s="164"/>
      <c r="I3" s="164"/>
      <c r="J3" s="165"/>
    </row>
    <row r="4" spans="1:10" ht="15" customHeight="1" thickBot="1" x14ac:dyDescent="0.3"/>
    <row r="5" spans="1:10" ht="15" customHeight="1" x14ac:dyDescent="0.25">
      <c r="A5" s="118" t="s">
        <v>31</v>
      </c>
      <c r="B5" s="119"/>
      <c r="C5" s="119"/>
      <c r="D5" s="119"/>
      <c r="E5" s="119"/>
      <c r="F5" s="119"/>
      <c r="G5" s="119"/>
      <c r="H5" s="119"/>
      <c r="I5" s="119"/>
      <c r="J5" s="120"/>
    </row>
    <row r="6" spans="1:10" ht="15" customHeight="1" x14ac:dyDescent="0.25">
      <c r="A6" s="128" t="s">
        <v>80</v>
      </c>
      <c r="B6" s="129"/>
      <c r="C6" s="129"/>
      <c r="D6" s="129"/>
      <c r="E6" s="129"/>
      <c r="F6" s="129"/>
      <c r="G6" s="129"/>
      <c r="H6" s="129"/>
      <c r="I6" s="129"/>
      <c r="J6" s="130"/>
    </row>
    <row r="7" spans="1:10" x14ac:dyDescent="0.25">
      <c r="A7" s="128"/>
      <c r="B7" s="129"/>
      <c r="C7" s="129"/>
      <c r="D7" s="129"/>
      <c r="E7" s="129"/>
      <c r="F7" s="129"/>
      <c r="G7" s="129"/>
      <c r="H7" s="129"/>
      <c r="I7" s="129"/>
      <c r="J7" s="130"/>
    </row>
    <row r="8" spans="1:10" x14ac:dyDescent="0.25">
      <c r="A8" s="128"/>
      <c r="B8" s="129"/>
      <c r="C8" s="129"/>
      <c r="D8" s="129"/>
      <c r="E8" s="129"/>
      <c r="F8" s="129"/>
      <c r="G8" s="129"/>
      <c r="H8" s="129"/>
      <c r="I8" s="129"/>
      <c r="J8" s="130"/>
    </row>
    <row r="9" spans="1:10" x14ac:dyDescent="0.25">
      <c r="A9" s="128"/>
      <c r="B9" s="129"/>
      <c r="C9" s="129"/>
      <c r="D9" s="129"/>
      <c r="E9" s="129"/>
      <c r="F9" s="129"/>
      <c r="G9" s="129"/>
      <c r="H9" s="129"/>
      <c r="I9" s="129"/>
      <c r="J9" s="130"/>
    </row>
    <row r="10" spans="1:10" x14ac:dyDescent="0.25">
      <c r="A10" s="128"/>
      <c r="B10" s="129"/>
      <c r="C10" s="129"/>
      <c r="D10" s="129"/>
      <c r="E10" s="129"/>
      <c r="F10" s="129"/>
      <c r="G10" s="129"/>
      <c r="H10" s="129"/>
      <c r="I10" s="129"/>
      <c r="J10" s="130"/>
    </row>
    <row r="11" spans="1:10" ht="15.75" thickBot="1" x14ac:dyDescent="0.3">
      <c r="A11" s="46" t="s">
        <v>59</v>
      </c>
      <c r="B11" s="47"/>
      <c r="C11" s="48" t="s">
        <v>34</v>
      </c>
      <c r="D11" s="43"/>
      <c r="E11" s="44" t="s">
        <v>32</v>
      </c>
      <c r="F11" s="44"/>
      <c r="G11" s="10" t="s">
        <v>33</v>
      </c>
      <c r="H11" s="10"/>
      <c r="I11" s="45" t="s">
        <v>35</v>
      </c>
      <c r="J11" s="9"/>
    </row>
    <row r="12" spans="1:10" ht="15.75" thickBot="1" x14ac:dyDescent="0.3">
      <c r="A12" s="33"/>
      <c r="B12" s="33"/>
      <c r="C12" s="33"/>
      <c r="D12" s="33"/>
      <c r="G12" s="33"/>
      <c r="H12" s="33"/>
      <c r="I12" s="33"/>
      <c r="J12" s="33"/>
    </row>
    <row r="13" spans="1:10" ht="15.75" thickBot="1" x14ac:dyDescent="0.3">
      <c r="A13" s="125" t="s">
        <v>29</v>
      </c>
      <c r="B13" s="126"/>
      <c r="C13" s="126"/>
      <c r="D13" s="127"/>
      <c r="G13" s="125" t="s">
        <v>30</v>
      </c>
      <c r="H13" s="126"/>
      <c r="I13" s="126"/>
      <c r="J13" s="127"/>
    </row>
    <row r="14" spans="1:10" x14ac:dyDescent="0.25">
      <c r="A14" s="116" t="s">
        <v>56</v>
      </c>
      <c r="B14" s="117"/>
      <c r="C14" s="131" t="s">
        <v>57</v>
      </c>
      <c r="D14" s="132"/>
      <c r="G14" s="116" t="s">
        <v>22</v>
      </c>
      <c r="H14" s="117"/>
      <c r="I14" s="123" t="s">
        <v>23</v>
      </c>
      <c r="J14" s="124"/>
    </row>
    <row r="15" spans="1:10" x14ac:dyDescent="0.25">
      <c r="A15" s="114" t="s">
        <v>24</v>
      </c>
      <c r="B15" s="115"/>
      <c r="C15" s="143" t="s">
        <v>25</v>
      </c>
      <c r="D15" s="144"/>
      <c r="G15" s="114" t="s">
        <v>50</v>
      </c>
      <c r="H15" s="115"/>
      <c r="I15" s="121" t="s">
        <v>39</v>
      </c>
      <c r="J15" s="122"/>
    </row>
    <row r="16" spans="1:10" x14ac:dyDescent="0.25">
      <c r="A16" s="114" t="s">
        <v>55</v>
      </c>
      <c r="B16" s="115"/>
      <c r="C16" s="143" t="s">
        <v>26</v>
      </c>
      <c r="D16" s="144"/>
      <c r="G16" s="114" t="s">
        <v>19</v>
      </c>
      <c r="H16" s="115"/>
      <c r="I16" s="32" t="s">
        <v>61</v>
      </c>
      <c r="J16" s="34" t="str">
        <f>IF(I16="Yes","Credit Applied", "No Credit")</f>
        <v>No Credit</v>
      </c>
    </row>
    <row r="17" spans="1:15" x14ac:dyDescent="0.25">
      <c r="A17" s="114" t="s">
        <v>54</v>
      </c>
      <c r="B17" s="115"/>
      <c r="C17" s="145"/>
      <c r="D17" s="146"/>
      <c r="G17" s="114" t="s">
        <v>40</v>
      </c>
      <c r="H17" s="115"/>
      <c r="I17" s="172" t="s">
        <v>82</v>
      </c>
      <c r="J17" s="173"/>
    </row>
    <row r="18" spans="1:15" ht="15.75" thickBot="1" x14ac:dyDescent="0.3">
      <c r="A18" s="112" t="s">
        <v>58</v>
      </c>
      <c r="B18" s="113"/>
      <c r="C18" s="147"/>
      <c r="D18" s="148"/>
      <c r="G18" s="112" t="s">
        <v>20</v>
      </c>
      <c r="H18" s="113"/>
      <c r="I18" s="61">
        <v>15276.48</v>
      </c>
      <c r="J18" s="62">
        <v>45778</v>
      </c>
    </row>
    <row r="19" spans="1:15" x14ac:dyDescent="0.25">
      <c r="C19" s="30" t="str">
        <f>IF(C17&lt;&gt;SUM(D24:D27,D29:D35),"Please confirm input areas match total area."," ")</f>
        <v xml:space="preserve"> </v>
      </c>
      <c r="M19" s="176" t="s">
        <v>60</v>
      </c>
      <c r="N19" s="177"/>
      <c r="O19" s="177"/>
    </row>
    <row r="20" spans="1:15" ht="15.75" thickBot="1" x14ac:dyDescent="0.3">
      <c r="C20" s="30" t="str">
        <f>IF(C18&lt;&gt;(D36+D37),"Please confirm number of residential units match total dwelling units."," ")</f>
        <v xml:space="preserve"> </v>
      </c>
      <c r="M20" s="177"/>
      <c r="N20" s="177"/>
      <c r="O20" s="177"/>
    </row>
    <row r="21" spans="1:15" x14ac:dyDescent="0.25">
      <c r="A21" s="133" t="s">
        <v>10</v>
      </c>
      <c r="B21" s="134"/>
      <c r="C21" s="139" t="s">
        <v>9</v>
      </c>
      <c r="D21" s="140"/>
      <c r="E21" s="166" t="s">
        <v>43</v>
      </c>
      <c r="F21" s="167"/>
      <c r="G21" s="166" t="s">
        <v>44</v>
      </c>
      <c r="H21" s="167"/>
      <c r="I21" s="166" t="s">
        <v>45</v>
      </c>
      <c r="J21" s="167"/>
      <c r="M21" t="s">
        <v>51</v>
      </c>
      <c r="N21" t="s">
        <v>52</v>
      </c>
      <c r="O21" t="s">
        <v>53</v>
      </c>
    </row>
    <row r="22" spans="1:15" x14ac:dyDescent="0.25">
      <c r="A22" s="135"/>
      <c r="B22" s="136"/>
      <c r="C22" s="7" t="s">
        <v>27</v>
      </c>
      <c r="D22" s="18" t="s">
        <v>28</v>
      </c>
      <c r="E22" s="168" t="s">
        <v>36</v>
      </c>
      <c r="F22" s="170" t="s">
        <v>11</v>
      </c>
      <c r="G22" s="168" t="s">
        <v>37</v>
      </c>
      <c r="H22" s="170" t="s">
        <v>11</v>
      </c>
      <c r="I22" s="168" t="s">
        <v>46</v>
      </c>
      <c r="J22" s="170" t="s">
        <v>11</v>
      </c>
      <c r="M22" s="174" t="s">
        <v>8</v>
      </c>
      <c r="N22" s="178"/>
      <c r="O22" s="174" t="s">
        <v>16</v>
      </c>
    </row>
    <row r="23" spans="1:15" ht="15.75" thickBot="1" x14ac:dyDescent="0.3">
      <c r="A23" s="137"/>
      <c r="B23" s="138"/>
      <c r="C23" s="8" t="s">
        <v>41</v>
      </c>
      <c r="D23" s="19" t="s">
        <v>41</v>
      </c>
      <c r="E23" s="169"/>
      <c r="F23" s="171"/>
      <c r="G23" s="169"/>
      <c r="H23" s="171"/>
      <c r="I23" s="169"/>
      <c r="J23" s="171"/>
      <c r="M23" s="175"/>
      <c r="N23" s="179"/>
      <c r="O23" s="175"/>
    </row>
    <row r="24" spans="1:15" x14ac:dyDescent="0.25">
      <c r="A24" s="141" t="s">
        <v>4</v>
      </c>
      <c r="B24" s="142"/>
      <c r="C24" s="11"/>
      <c r="D24" s="20"/>
      <c r="E24" s="55">
        <f>IF($I$17="West of 101",0,ROUNDUP((IF($I$16="Yes",(D24-C24),(D24))*(M24/1000)),2))</f>
        <v>0</v>
      </c>
      <c r="F24" s="49">
        <f>ROUNDUP(ROUND(E24,2)*$M$39,2)</f>
        <v>0</v>
      </c>
      <c r="G24" s="22">
        <f>IF($I$17="West of 101",0,IF($I$16="Yes",D24-C24,D24))*(4/10)</f>
        <v>0</v>
      </c>
      <c r="H24" s="24">
        <f>$N$39*G24</f>
        <v>0</v>
      </c>
      <c r="I24" s="26">
        <f t="shared" ref="I24:I26" si="0">IF($I$16="Yes",D24-C24,D24)</f>
        <v>0</v>
      </c>
      <c r="J24" s="27">
        <f>I24*O24</f>
        <v>0</v>
      </c>
      <c r="L24" t="s">
        <v>4</v>
      </c>
      <c r="M24" s="17">
        <v>5.46</v>
      </c>
      <c r="N24" s="1"/>
      <c r="O24" s="52">
        <f>$I$18/12819.17*13.15</f>
        <v>15.670726887934242</v>
      </c>
    </row>
    <row r="25" spans="1:15" x14ac:dyDescent="0.25">
      <c r="A25" s="149" t="s">
        <v>5</v>
      </c>
      <c r="B25" s="150"/>
      <c r="C25" s="12"/>
      <c r="D25" s="21"/>
      <c r="E25" s="56">
        <f>IF($I$17="West of 101",0,ROUNDUP((IF($I$16="Yes",(D25-C25),(D25))*(M25/1000)),2))</f>
        <v>0</v>
      </c>
      <c r="F25" s="24">
        <f>ROUNDUP(ROUND(E25,2)*$M$39,2)</f>
        <v>0</v>
      </c>
      <c r="G25" s="22">
        <f>IF($I$17="West of 101",0,IF($I$16="Yes",D25-C25,D25))*(4/10)</f>
        <v>0</v>
      </c>
      <c r="H25" s="24">
        <f>$N$39*G25</f>
        <v>0</v>
      </c>
      <c r="I25" s="26">
        <f t="shared" si="0"/>
        <v>0</v>
      </c>
      <c r="J25" s="27">
        <f>I25*O25</f>
        <v>0</v>
      </c>
      <c r="L25" t="s">
        <v>5</v>
      </c>
      <c r="M25" s="17">
        <v>3.99</v>
      </c>
      <c r="N25" s="1"/>
      <c r="O25" s="52">
        <f>$I$18/12819.17*13.15</f>
        <v>15.670726887934242</v>
      </c>
    </row>
    <row r="26" spans="1:15" x14ac:dyDescent="0.25">
      <c r="A26" s="149" t="s">
        <v>3</v>
      </c>
      <c r="B26" s="150"/>
      <c r="C26" s="12"/>
      <c r="D26" s="21"/>
      <c r="E26" s="22">
        <f>IF($I$17="West of 101",0,ROUNDUP((IF($I$16="Yes",(D26-C26),(D26))*(M26/1000)),2))</f>
        <v>0</v>
      </c>
      <c r="F26" s="24">
        <f>ROUNDUP(ROUND(E26,2)*$M$39,2)</f>
        <v>0</v>
      </c>
      <c r="G26" s="22">
        <f>IF($I$17="West of 101",0,IF($I$16="Yes",D26-C26,D26))*(4/10)</f>
        <v>0</v>
      </c>
      <c r="H26" s="24">
        <f>$N$39*G26</f>
        <v>0</v>
      </c>
      <c r="I26" s="26">
        <f t="shared" si="0"/>
        <v>0</v>
      </c>
      <c r="J26" s="27">
        <f>I26*O26</f>
        <v>0</v>
      </c>
      <c r="L26" t="s">
        <v>3</v>
      </c>
      <c r="M26" s="17">
        <v>4.5</v>
      </c>
      <c r="N26" s="1"/>
      <c r="O26" s="52">
        <f>$I$18/12819.17*13.15</f>
        <v>15.670726887934242</v>
      </c>
    </row>
    <row r="27" spans="1:15" x14ac:dyDescent="0.25">
      <c r="A27" s="149" t="s">
        <v>14</v>
      </c>
      <c r="B27" s="150"/>
      <c r="C27" s="12"/>
      <c r="D27" s="21"/>
      <c r="E27" s="22">
        <f>IF($I$17="West of 101",0,ROUNDUP((IF($I$16="Yes",(D27-C27),(D27))*(M27/1000)),2))</f>
        <v>0</v>
      </c>
      <c r="F27" s="24">
        <f>ROUNDUP(ROUND(E27,2)*$M$39,2)</f>
        <v>0</v>
      </c>
      <c r="G27" s="22">
        <f>IF($I$17="West of 101",0,IF($I$16="Yes",D27-C27,D27))*(4/10)</f>
        <v>0</v>
      </c>
      <c r="H27" s="24">
        <f>$N$39*G27</f>
        <v>0</v>
      </c>
      <c r="I27" s="37"/>
      <c r="J27" s="38"/>
      <c r="L27" t="s">
        <v>14</v>
      </c>
      <c r="M27" s="17">
        <v>10.5</v>
      </c>
      <c r="N27" s="1"/>
      <c r="O27" s="25"/>
    </row>
    <row r="28" spans="1:15" x14ac:dyDescent="0.25">
      <c r="A28" s="153" t="s">
        <v>15</v>
      </c>
      <c r="B28" s="154"/>
      <c r="C28" s="12"/>
      <c r="D28" s="21"/>
      <c r="E28" s="35"/>
      <c r="F28" s="36"/>
      <c r="G28" s="35"/>
      <c r="H28" s="36"/>
      <c r="I28" s="26">
        <f t="shared" ref="I28:I34" si="1">IF($I$16="Yes",D28-C28,D28)</f>
        <v>0</v>
      </c>
      <c r="J28" s="27">
        <f t="shared" ref="J28:J34" si="2">I28*O28</f>
        <v>0</v>
      </c>
      <c r="L28" t="s">
        <v>15</v>
      </c>
      <c r="M28" s="23"/>
      <c r="N28" s="25"/>
      <c r="O28" s="52">
        <f>$I$18/12819.17*2450</f>
        <v>2919.6411312120831</v>
      </c>
    </row>
    <row r="29" spans="1:15" x14ac:dyDescent="0.25">
      <c r="A29" s="149" t="s">
        <v>1</v>
      </c>
      <c r="B29" s="150"/>
      <c r="C29" s="12"/>
      <c r="D29" s="21"/>
      <c r="E29" s="22">
        <f t="shared" ref="E29:E35" si="3">IF($I$17="West of 101",0,ROUNDUP((IF($I$16="Yes",(D29-C29),(D29))*(M29/1000)),2))</f>
        <v>0</v>
      </c>
      <c r="F29" s="24">
        <f t="shared" ref="F29:F35" si="4">ROUNDUP(ROUND(E29,2)*$M$39,2)</f>
        <v>0</v>
      </c>
      <c r="G29" s="22">
        <f t="shared" ref="G29:G35" si="5">IF($I$17="West of 101",0,IF($I$16="Yes",D29-C29,D29))*(4/10)</f>
        <v>0</v>
      </c>
      <c r="H29" s="24">
        <f t="shared" ref="H29:H35" si="6">$N$39*G29</f>
        <v>0</v>
      </c>
      <c r="I29" s="26">
        <f>IF($I$16="Yes",D29-C29,D29)</f>
        <v>0</v>
      </c>
      <c r="J29" s="27">
        <f t="shared" si="2"/>
        <v>0</v>
      </c>
      <c r="L29" t="s">
        <v>1</v>
      </c>
      <c r="M29" s="17">
        <v>12.3</v>
      </c>
      <c r="N29" s="1"/>
      <c r="O29" s="52">
        <f>$I$18/12819.17*29.15</f>
        <v>34.737771010135603</v>
      </c>
    </row>
    <row r="30" spans="1:15" x14ac:dyDescent="0.25">
      <c r="A30" s="149" t="s">
        <v>38</v>
      </c>
      <c r="B30" s="150"/>
      <c r="C30" s="12"/>
      <c r="D30" s="21"/>
      <c r="E30" s="22">
        <f t="shared" si="3"/>
        <v>0</v>
      </c>
      <c r="F30" s="24">
        <f t="shared" si="4"/>
        <v>0</v>
      </c>
      <c r="G30" s="22">
        <f t="shared" si="5"/>
        <v>0</v>
      </c>
      <c r="H30" s="24">
        <f t="shared" si="6"/>
        <v>0</v>
      </c>
      <c r="I30" s="26">
        <f t="shared" si="1"/>
        <v>0</v>
      </c>
      <c r="J30" s="27">
        <f t="shared" si="2"/>
        <v>0</v>
      </c>
      <c r="L30" t="s">
        <v>38</v>
      </c>
      <c r="M30" s="17">
        <v>5.3</v>
      </c>
      <c r="N30" s="1"/>
      <c r="O30" s="52">
        <f>$I$18/12819.17*29.15</f>
        <v>34.737771010135603</v>
      </c>
    </row>
    <row r="31" spans="1:15" x14ac:dyDescent="0.25">
      <c r="A31" s="149" t="s">
        <v>17</v>
      </c>
      <c r="B31" s="150"/>
      <c r="C31" s="12"/>
      <c r="D31" s="21"/>
      <c r="E31" s="22">
        <f t="shared" si="3"/>
        <v>0</v>
      </c>
      <c r="F31" s="24">
        <f t="shared" si="4"/>
        <v>0</v>
      </c>
      <c r="G31" s="22">
        <f t="shared" si="5"/>
        <v>0</v>
      </c>
      <c r="H31" s="24">
        <f t="shared" si="6"/>
        <v>0</v>
      </c>
      <c r="I31" s="26">
        <f t="shared" si="1"/>
        <v>0</v>
      </c>
      <c r="J31" s="27">
        <f>I31*O31</f>
        <v>0</v>
      </c>
      <c r="L31" t="s">
        <v>17</v>
      </c>
      <c r="M31" s="17">
        <v>11.7</v>
      </c>
      <c r="N31" s="1"/>
      <c r="O31" s="52">
        <f>$I$18/12819.17*25.42</f>
        <v>30.29276634914741</v>
      </c>
    </row>
    <row r="32" spans="1:15" x14ac:dyDescent="0.25">
      <c r="A32" s="149" t="s">
        <v>6</v>
      </c>
      <c r="B32" s="150"/>
      <c r="C32" s="12"/>
      <c r="D32" s="21"/>
      <c r="E32" s="22">
        <f t="shared" si="3"/>
        <v>0</v>
      </c>
      <c r="F32" s="24">
        <f t="shared" si="4"/>
        <v>0</v>
      </c>
      <c r="G32" s="22">
        <f t="shared" si="5"/>
        <v>0</v>
      </c>
      <c r="H32" s="24">
        <f t="shared" si="6"/>
        <v>0</v>
      </c>
      <c r="I32" s="26">
        <f t="shared" si="1"/>
        <v>0</v>
      </c>
      <c r="J32" s="27">
        <f t="shared" si="2"/>
        <v>0</v>
      </c>
      <c r="L32" t="s">
        <v>6</v>
      </c>
      <c r="M32" s="17">
        <v>56.3</v>
      </c>
      <c r="N32" s="1"/>
      <c r="O32" s="52">
        <f>$I$18/12819.17*25.42</f>
        <v>30.29276634914741</v>
      </c>
    </row>
    <row r="33" spans="1:15" x14ac:dyDescent="0.25">
      <c r="A33" s="149" t="s">
        <v>7</v>
      </c>
      <c r="B33" s="150"/>
      <c r="C33" s="12"/>
      <c r="D33" s="21"/>
      <c r="E33" s="22">
        <f t="shared" si="3"/>
        <v>0</v>
      </c>
      <c r="F33" s="24">
        <f t="shared" si="4"/>
        <v>0</v>
      </c>
      <c r="G33" s="22">
        <f t="shared" si="5"/>
        <v>0</v>
      </c>
      <c r="H33" s="24">
        <f t="shared" si="6"/>
        <v>0</v>
      </c>
      <c r="I33" s="26">
        <f t="shared" si="1"/>
        <v>0</v>
      </c>
      <c r="J33" s="27">
        <f t="shared" si="2"/>
        <v>0</v>
      </c>
      <c r="L33" t="s">
        <v>7</v>
      </c>
      <c r="M33" s="17">
        <v>164.4</v>
      </c>
      <c r="N33" s="1"/>
      <c r="O33" s="52">
        <f>$I$18/12819.17*25.42</f>
        <v>30.29276634914741</v>
      </c>
    </row>
    <row r="34" spans="1:15" x14ac:dyDescent="0.25">
      <c r="A34" s="149" t="s">
        <v>2</v>
      </c>
      <c r="B34" s="150"/>
      <c r="C34" s="12"/>
      <c r="D34" s="21"/>
      <c r="E34" s="22">
        <f t="shared" si="3"/>
        <v>0</v>
      </c>
      <c r="F34" s="24">
        <f t="shared" si="4"/>
        <v>0</v>
      </c>
      <c r="G34" s="22">
        <f t="shared" si="5"/>
        <v>0</v>
      </c>
      <c r="H34" s="24">
        <f t="shared" si="6"/>
        <v>0</v>
      </c>
      <c r="I34" s="26">
        <f t="shared" si="1"/>
        <v>0</v>
      </c>
      <c r="J34" s="27">
        <f t="shared" si="2"/>
        <v>0</v>
      </c>
      <c r="L34" t="s">
        <v>2</v>
      </c>
      <c r="M34" s="17">
        <v>48</v>
      </c>
      <c r="N34" s="1"/>
      <c r="O34" s="52">
        <f>$I$18/12819.17*25.42</f>
        <v>30.29276634914741</v>
      </c>
    </row>
    <row r="35" spans="1:15" x14ac:dyDescent="0.25">
      <c r="A35" s="149" t="s">
        <v>47</v>
      </c>
      <c r="B35" s="150"/>
      <c r="C35" s="12"/>
      <c r="D35" s="21"/>
      <c r="E35" s="22">
        <f t="shared" si="3"/>
        <v>0</v>
      </c>
      <c r="F35" s="24">
        <f t="shared" si="4"/>
        <v>0</v>
      </c>
      <c r="G35" s="22">
        <f t="shared" si="5"/>
        <v>0</v>
      </c>
      <c r="H35" s="24">
        <f t="shared" si="6"/>
        <v>0</v>
      </c>
      <c r="I35" s="37"/>
      <c r="J35" s="38"/>
      <c r="L35" t="s">
        <v>47</v>
      </c>
      <c r="M35" s="17">
        <v>10</v>
      </c>
      <c r="N35" s="1"/>
      <c r="O35" s="25"/>
    </row>
    <row r="36" spans="1:15" x14ac:dyDescent="0.25">
      <c r="A36" s="149" t="s">
        <v>48</v>
      </c>
      <c r="B36" s="150"/>
      <c r="C36" s="12"/>
      <c r="D36" s="21"/>
      <c r="E36" s="35"/>
      <c r="F36" s="36"/>
      <c r="G36" s="35"/>
      <c r="H36" s="36"/>
      <c r="I36" s="26">
        <f>IF($I$15&gt;DATEVALUE("01/01/2022"),IF($I$16="Yes",D36-C36,D36),0)</f>
        <v>0</v>
      </c>
      <c r="J36" s="27">
        <f>I36*O36</f>
        <v>0</v>
      </c>
      <c r="L36" t="s">
        <v>48</v>
      </c>
      <c r="M36" s="23"/>
      <c r="N36" s="25"/>
      <c r="O36" s="52">
        <f>$I$18/12819.17*6721.37</f>
        <v>8009.7911469775345</v>
      </c>
    </row>
    <row r="37" spans="1:15" ht="15.75" thickBot="1" x14ac:dyDescent="0.3">
      <c r="A37" s="151" t="s">
        <v>49</v>
      </c>
      <c r="B37" s="152"/>
      <c r="C37" s="13"/>
      <c r="D37" s="16"/>
      <c r="E37" s="39"/>
      <c r="F37" s="40"/>
      <c r="G37" s="39"/>
      <c r="H37" s="40"/>
      <c r="I37" s="41">
        <f>IF($I$15&gt;DATEVALUE("01/01/2022"),IF($I$16="Yes",D37-C37,D37),0)</f>
        <v>0</v>
      </c>
      <c r="J37" s="42">
        <f>I37*O37</f>
        <v>0</v>
      </c>
      <c r="L37" t="s">
        <v>49</v>
      </c>
      <c r="M37" s="28"/>
      <c r="N37" s="29"/>
      <c r="O37" s="53">
        <f>$I$18/12819.17*3873.3</f>
        <v>4615.773874907658</v>
      </c>
    </row>
    <row r="38" spans="1:15" x14ac:dyDescent="0.25">
      <c r="A38" s="159" t="s">
        <v>0</v>
      </c>
      <c r="B38" s="160"/>
      <c r="C38" s="155">
        <f>F39+H39+J39</f>
        <v>0</v>
      </c>
      <c r="D38" s="156"/>
      <c r="E38" s="50" t="s">
        <v>42</v>
      </c>
      <c r="F38" s="5"/>
      <c r="G38" s="15" t="s">
        <v>18</v>
      </c>
      <c r="H38" s="5"/>
      <c r="I38" s="2"/>
      <c r="J38" s="5"/>
      <c r="M38" s="2" t="s">
        <v>12</v>
      </c>
      <c r="N38" s="2" t="s">
        <v>13</v>
      </c>
      <c r="O38" s="15"/>
    </row>
    <row r="39" spans="1:15" ht="15.75" thickBot="1" x14ac:dyDescent="0.3">
      <c r="A39" s="161"/>
      <c r="B39" s="162"/>
      <c r="C39" s="157"/>
      <c r="D39" s="158"/>
      <c r="E39" s="51">
        <f>SUM(E24:E37)</f>
        <v>0</v>
      </c>
      <c r="F39" s="6">
        <f>IF(SUM(F24:F37)&lt;0,0,SUM(F24:F37))</f>
        <v>0</v>
      </c>
      <c r="G39" s="14">
        <f>SUM(G24:G37)</f>
        <v>0</v>
      </c>
      <c r="H39" s="6">
        <f>IF(SUM(H24:H37)&lt;0,0,SUM(H24:H37))</f>
        <v>0</v>
      </c>
      <c r="I39" s="3"/>
      <c r="J39" s="6">
        <f>IF(SUM(J24:J37)&lt;0,0,SUM(J24:J37))</f>
        <v>0</v>
      </c>
      <c r="M39" s="57">
        <f>I18/6552.16*154</f>
        <v>359.05379600009763</v>
      </c>
      <c r="N39" s="54">
        <f>I18/7644.46*3.19</f>
        <v>6.3748088419587514</v>
      </c>
      <c r="O39" s="4"/>
    </row>
    <row r="40" spans="1:15" x14ac:dyDescent="0.25">
      <c r="C40" s="30" t="str">
        <f>IF(OR(AND(C35&gt;0,(C36+C37)=0),AND(C35=0,(C36+C37)&gt;0),AND(C27&gt;0,C28=0),AND(C27=0,C28&gt;0),AND(D35&gt;0,(D36+D37)=0),AND(D35=0,(D36+D37)&gt;0),AND(D27&gt;0,D28=0),AND(D27=0,D28&gt;0)),"Please provide both the AREA and UNITS for Hotel and Residential","")</f>
        <v/>
      </c>
      <c r="D40" s="30"/>
    </row>
    <row r="42" spans="1:15" x14ac:dyDescent="0.25">
      <c r="C42" s="31"/>
    </row>
    <row r="43" spans="1:15" x14ac:dyDescent="0.25">
      <c r="C43" s="31"/>
    </row>
  </sheetData>
  <sheetProtection algorithmName="SHA-512" hashValue="gvoASxlpcWUavjKlFOA0qru8+PYaqQqb2A9sKfnnyio9NNorhtsIPTt5xyClXM6fv+Few/fxKx3u44XyZ8IEDw==" saltValue="IbC2aFhmLjXuG1kCyJm3uA==" spinCount="100000" sheet="1" selectLockedCells="1"/>
  <protectedRanges>
    <protectedRange sqref="C14:D18" name="Applicant Info"/>
    <protectedRange sqref="C24:D37" name="Areas Table"/>
    <protectedRange sqref="I14:J15 I16 I17:J17" name="Staff Table"/>
  </protectedRanges>
  <mergeCells count="56">
    <mergeCell ref="O22:O23"/>
    <mergeCell ref="M19:O20"/>
    <mergeCell ref="C15:D15"/>
    <mergeCell ref="I22:I23"/>
    <mergeCell ref="J22:J23"/>
    <mergeCell ref="M22:M23"/>
    <mergeCell ref="N22:N23"/>
    <mergeCell ref="C38:D39"/>
    <mergeCell ref="A38:B39"/>
    <mergeCell ref="A35:B35"/>
    <mergeCell ref="A3:J3"/>
    <mergeCell ref="E21:F21"/>
    <mergeCell ref="G21:H21"/>
    <mergeCell ref="I21:J21"/>
    <mergeCell ref="E22:E23"/>
    <mergeCell ref="F22:F23"/>
    <mergeCell ref="G22:G23"/>
    <mergeCell ref="H22:H23"/>
    <mergeCell ref="A31:B31"/>
    <mergeCell ref="A32:B32"/>
    <mergeCell ref="A33:B33"/>
    <mergeCell ref="A34:B34"/>
    <mergeCell ref="I17:J17"/>
    <mergeCell ref="A36:B36"/>
    <mergeCell ref="A37:B37"/>
    <mergeCell ref="A25:B25"/>
    <mergeCell ref="A26:B26"/>
    <mergeCell ref="A27:B27"/>
    <mergeCell ref="A28:B28"/>
    <mergeCell ref="A29:B29"/>
    <mergeCell ref="A30:B30"/>
    <mergeCell ref="A21:B23"/>
    <mergeCell ref="C21:D21"/>
    <mergeCell ref="A24:B24"/>
    <mergeCell ref="C16:D16"/>
    <mergeCell ref="A17:B17"/>
    <mergeCell ref="C17:D17"/>
    <mergeCell ref="A18:B18"/>
    <mergeCell ref="C18:D18"/>
    <mergeCell ref="A16:B16"/>
    <mergeCell ref="A2:J2"/>
    <mergeCell ref="A1:J1"/>
    <mergeCell ref="G18:H18"/>
    <mergeCell ref="G17:H17"/>
    <mergeCell ref="G16:H16"/>
    <mergeCell ref="G15:H15"/>
    <mergeCell ref="G14:H14"/>
    <mergeCell ref="A5:J5"/>
    <mergeCell ref="I15:J15"/>
    <mergeCell ref="I14:J14"/>
    <mergeCell ref="G13:J13"/>
    <mergeCell ref="A6:J10"/>
    <mergeCell ref="A13:D13"/>
    <mergeCell ref="A14:B14"/>
    <mergeCell ref="C14:D14"/>
    <mergeCell ref="A15:B15"/>
  </mergeCells>
  <conditionalFormatting sqref="C19:C20">
    <cfRule type="expression" dxfId="3" priority="4">
      <formula>$C$21&lt;&gt;$I$24</formula>
    </cfRule>
  </conditionalFormatting>
  <conditionalFormatting sqref="C40:D40">
    <cfRule type="expression" dxfId="2" priority="1">
      <formula>$C$21&lt;&gt;$I$24</formula>
    </cfRule>
  </conditionalFormatting>
  <dataValidations count="2">
    <dataValidation type="list" allowBlank="1" showInputMessage="1" showErrorMessage="1" sqref="I16" xr:uid="{00000000-0002-0000-0000-000000000000}">
      <formula1>"Yes, No"</formula1>
    </dataValidation>
    <dataValidation type="list" allowBlank="1" showInputMessage="1" showErrorMessage="1" sqref="I17" xr:uid="{00000000-0002-0000-0000-000001000000}">
      <formula1>"East of 101, West of 101"</formula1>
    </dataValidation>
  </dataValidations>
  <printOptions horizontalCentered="1"/>
  <pageMargins left="0.25" right="0.25" top="0.75" bottom="0.75" header="0.3" footer="0.3"/>
  <pageSetup scale="83" orientation="landscape" horizontalDpi="1200" verticalDpi="1200" r:id="rId1"/>
  <headerFooter>
    <oddFooter>&amp;L&amp;10&amp;K00-039Created October 26 ,2020&amp;R&amp;9&amp;K00-038&amp;Z&amp;F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03EE-BE6B-46AE-A380-59D8EAF445A4}">
  <sheetPr>
    <pageSetUpPr fitToPage="1"/>
  </sheetPr>
  <dimension ref="A1:N43"/>
  <sheetViews>
    <sheetView view="pageLayout" zoomScale="77" zoomScaleNormal="85" zoomScalePageLayoutView="77" workbookViewId="0">
      <selection activeCell="D21" sqref="D21"/>
    </sheetView>
  </sheetViews>
  <sheetFormatPr defaultRowHeight="15" x14ac:dyDescent="0.25"/>
  <cols>
    <col min="1" max="9" width="17.7109375" customWidth="1"/>
    <col min="11" max="11" width="32.28515625" hidden="1" customWidth="1"/>
    <col min="12" max="14" width="10.5703125" hidden="1" customWidth="1"/>
    <col min="15" max="15" width="9.140625" customWidth="1"/>
  </cols>
  <sheetData>
    <row r="1" spans="1:9" ht="18.75" x14ac:dyDescent="0.3">
      <c r="A1" s="109" t="s">
        <v>21</v>
      </c>
      <c r="B1" s="110"/>
      <c r="C1" s="110"/>
      <c r="D1" s="110"/>
      <c r="E1" s="110"/>
      <c r="F1" s="110"/>
      <c r="G1" s="110"/>
      <c r="H1" s="110"/>
      <c r="I1" s="111"/>
    </row>
    <row r="2" spans="1:9" ht="18.75" x14ac:dyDescent="0.3">
      <c r="A2" s="106" t="s">
        <v>77</v>
      </c>
      <c r="B2" s="107"/>
      <c r="C2" s="107"/>
      <c r="D2" s="107"/>
      <c r="E2" s="107"/>
      <c r="F2" s="107"/>
      <c r="G2" s="107"/>
      <c r="H2" s="107"/>
      <c r="I2" s="108"/>
    </row>
    <row r="3" spans="1:9" ht="15" customHeight="1" thickBot="1" x14ac:dyDescent="0.3">
      <c r="A3" s="163" t="s">
        <v>78</v>
      </c>
      <c r="B3" s="164"/>
      <c r="C3" s="164"/>
      <c r="D3" s="164"/>
      <c r="E3" s="164"/>
      <c r="F3" s="164"/>
      <c r="G3" s="164"/>
      <c r="H3" s="164"/>
      <c r="I3" s="165"/>
    </row>
    <row r="4" spans="1:9" ht="15" customHeight="1" thickBot="1" x14ac:dyDescent="0.3"/>
    <row r="5" spans="1:9" ht="15" customHeight="1" x14ac:dyDescent="0.25">
      <c r="A5" s="63" t="s">
        <v>31</v>
      </c>
      <c r="B5" s="64"/>
      <c r="C5" s="64"/>
      <c r="D5" s="65"/>
      <c r="F5" s="133" t="s">
        <v>10</v>
      </c>
      <c r="G5" s="134"/>
      <c r="H5" s="139" t="s">
        <v>9</v>
      </c>
      <c r="I5" s="199"/>
    </row>
    <row r="6" spans="1:9" ht="15" customHeight="1" x14ac:dyDescent="0.25">
      <c r="A6" s="128" t="s">
        <v>62</v>
      </c>
      <c r="B6" s="129"/>
      <c r="C6" s="129"/>
      <c r="D6" s="130"/>
      <c r="F6" s="135"/>
      <c r="G6" s="136"/>
      <c r="H6" s="7" t="s">
        <v>27</v>
      </c>
      <c r="I6" s="66" t="s">
        <v>28</v>
      </c>
    </row>
    <row r="7" spans="1:9" ht="15.75" thickBot="1" x14ac:dyDescent="0.3">
      <c r="A7" s="128"/>
      <c r="B7" s="129"/>
      <c r="C7" s="129"/>
      <c r="D7" s="130"/>
      <c r="F7" s="137"/>
      <c r="G7" s="138"/>
      <c r="H7" s="8" t="s">
        <v>63</v>
      </c>
      <c r="I7" s="67" t="s">
        <v>63</v>
      </c>
    </row>
    <row r="8" spans="1:9" x14ac:dyDescent="0.25">
      <c r="A8" s="200"/>
      <c r="B8" s="201"/>
      <c r="C8" s="201"/>
      <c r="D8" s="202"/>
      <c r="F8" s="141" t="s">
        <v>4</v>
      </c>
      <c r="G8" s="142"/>
      <c r="H8" s="11"/>
      <c r="I8" s="68"/>
    </row>
    <row r="9" spans="1:9" x14ac:dyDescent="0.25">
      <c r="A9" s="69" t="s">
        <v>32</v>
      </c>
      <c r="B9" s="70"/>
      <c r="C9" s="71" t="s">
        <v>34</v>
      </c>
      <c r="D9" s="72"/>
      <c r="F9" s="149" t="s">
        <v>5</v>
      </c>
      <c r="G9" s="150"/>
      <c r="H9" s="12"/>
      <c r="I9" s="59"/>
    </row>
    <row r="10" spans="1:9" ht="15.75" thickBot="1" x14ac:dyDescent="0.3">
      <c r="A10" s="73" t="s">
        <v>33</v>
      </c>
      <c r="B10" s="10"/>
      <c r="C10" s="74" t="s">
        <v>35</v>
      </c>
      <c r="D10" s="9"/>
      <c r="F10" s="149" t="s">
        <v>3</v>
      </c>
      <c r="G10" s="150"/>
      <c r="H10" s="12"/>
      <c r="I10" s="59"/>
    </row>
    <row r="11" spans="1:9" ht="15.75" thickBot="1" x14ac:dyDescent="0.3">
      <c r="F11" s="149" t="s">
        <v>14</v>
      </c>
      <c r="G11" s="150"/>
      <c r="H11" s="12"/>
      <c r="I11" s="59"/>
    </row>
    <row r="12" spans="1:9" ht="15.75" thickBot="1" x14ac:dyDescent="0.3">
      <c r="A12" s="125" t="s">
        <v>29</v>
      </c>
      <c r="B12" s="126"/>
      <c r="C12" s="126"/>
      <c r="D12" s="127"/>
      <c r="F12" s="149" t="s">
        <v>15</v>
      </c>
      <c r="G12" s="150"/>
      <c r="H12" s="12"/>
      <c r="I12" s="59"/>
    </row>
    <row r="13" spans="1:9" x14ac:dyDescent="0.25">
      <c r="A13" s="195" t="s">
        <v>64</v>
      </c>
      <c r="B13" s="196"/>
      <c r="C13" s="197" t="s">
        <v>65</v>
      </c>
      <c r="D13" s="198"/>
      <c r="F13" s="149" t="s">
        <v>1</v>
      </c>
      <c r="G13" s="150"/>
      <c r="H13" s="12"/>
      <c r="I13" s="59"/>
    </row>
    <row r="14" spans="1:9" x14ac:dyDescent="0.25">
      <c r="A14" s="114" t="s">
        <v>24</v>
      </c>
      <c r="B14" s="115"/>
      <c r="C14" s="212" t="s">
        <v>25</v>
      </c>
      <c r="D14" s="213"/>
      <c r="F14" s="149" t="s">
        <v>38</v>
      </c>
      <c r="G14" s="150"/>
      <c r="H14" s="12"/>
      <c r="I14" s="59"/>
    </row>
    <row r="15" spans="1:9" x14ac:dyDescent="0.25">
      <c r="A15" s="114" t="s">
        <v>66</v>
      </c>
      <c r="B15" s="115"/>
      <c r="C15" s="212" t="s">
        <v>26</v>
      </c>
      <c r="D15" s="213"/>
      <c r="F15" s="149" t="s">
        <v>17</v>
      </c>
      <c r="G15" s="150"/>
      <c r="H15" s="12"/>
      <c r="I15" s="59"/>
    </row>
    <row r="16" spans="1:9" ht="15.75" thickBot="1" x14ac:dyDescent="0.3">
      <c r="A16" s="112" t="s">
        <v>67</v>
      </c>
      <c r="B16" s="113"/>
      <c r="C16" s="193"/>
      <c r="D16" s="194"/>
      <c r="F16" s="149" t="s">
        <v>6</v>
      </c>
      <c r="G16" s="150"/>
      <c r="H16" s="12"/>
      <c r="I16" s="59"/>
    </row>
    <row r="17" spans="1:14" ht="15.75" thickBot="1" x14ac:dyDescent="0.3">
      <c r="A17" s="125" t="s">
        <v>30</v>
      </c>
      <c r="B17" s="126"/>
      <c r="C17" s="126"/>
      <c r="D17" s="127"/>
      <c r="F17" s="149" t="s">
        <v>7</v>
      </c>
      <c r="G17" s="150"/>
      <c r="H17" s="12"/>
      <c r="I17" s="59"/>
    </row>
    <row r="18" spans="1:14" ht="15.75" thickBot="1" x14ac:dyDescent="0.3">
      <c r="A18" s="195" t="s">
        <v>22</v>
      </c>
      <c r="B18" s="196"/>
      <c r="C18" s="203" t="s">
        <v>23</v>
      </c>
      <c r="D18" s="204"/>
      <c r="F18" s="205" t="s">
        <v>2</v>
      </c>
      <c r="G18" s="206"/>
      <c r="H18" s="13"/>
      <c r="I18" s="60"/>
    </row>
    <row r="19" spans="1:14" ht="15.75" thickBot="1" x14ac:dyDescent="0.3">
      <c r="A19" s="114" t="s">
        <v>68</v>
      </c>
      <c r="B19" s="115"/>
      <c r="C19" s="207" t="s">
        <v>39</v>
      </c>
      <c r="D19" s="208"/>
      <c r="F19" s="191" t="s">
        <v>69</v>
      </c>
      <c r="G19" s="192"/>
      <c r="H19" s="75">
        <f>SUM(H8:H18)</f>
        <v>0</v>
      </c>
      <c r="I19" s="76">
        <f>SUM(I8:I18)</f>
        <v>0</v>
      </c>
      <c r="L19" s="176" t="s">
        <v>60</v>
      </c>
      <c r="M19" s="177"/>
      <c r="N19" s="177"/>
    </row>
    <row r="20" spans="1:14" ht="15.75" thickBot="1" x14ac:dyDescent="0.3">
      <c r="A20" s="114" t="s">
        <v>19</v>
      </c>
      <c r="B20" s="115"/>
      <c r="C20" s="58" t="s">
        <v>61</v>
      </c>
      <c r="D20" s="34" t="str">
        <f>IF(C20="Yes","Credit Applied", "No Credit")</f>
        <v>No Credit</v>
      </c>
      <c r="H20" s="77" t="str">
        <f>IF(C16&lt;&gt;I19,"Input building areas do not match total area"," ")</f>
        <v xml:space="preserve"> </v>
      </c>
      <c r="L20" s="177"/>
      <c r="M20" s="177"/>
      <c r="N20" s="177"/>
    </row>
    <row r="21" spans="1:14" ht="15.75" thickBot="1" x14ac:dyDescent="0.3">
      <c r="A21" s="112" t="s">
        <v>70</v>
      </c>
      <c r="B21" s="113"/>
      <c r="C21" s="78">
        <f>'Current Eng Impact Fees'!I18</f>
        <v>15276.48</v>
      </c>
      <c r="D21" s="79">
        <f>'Current Eng Impact Fees'!J18</f>
        <v>45778</v>
      </c>
      <c r="F21" s="191" t="s">
        <v>0</v>
      </c>
      <c r="G21" s="192"/>
      <c r="H21" s="209">
        <f>C39+F39+I39</f>
        <v>0</v>
      </c>
      <c r="I21" s="210"/>
      <c r="L21" t="s">
        <v>51</v>
      </c>
      <c r="M21" t="s">
        <v>52</v>
      </c>
      <c r="N21" t="s">
        <v>53</v>
      </c>
    </row>
    <row r="22" spans="1:14" ht="15.75" thickBot="1" x14ac:dyDescent="0.3">
      <c r="L22" s="174" t="s">
        <v>8</v>
      </c>
      <c r="M22" s="178"/>
      <c r="N22" s="174" t="s">
        <v>16</v>
      </c>
    </row>
    <row r="23" spans="1:14" ht="15.75" thickBot="1" x14ac:dyDescent="0.3">
      <c r="A23" s="166" t="s">
        <v>71</v>
      </c>
      <c r="B23" s="211"/>
      <c r="C23" s="167"/>
      <c r="D23" s="166" t="s">
        <v>72</v>
      </c>
      <c r="E23" s="211"/>
      <c r="F23" s="167"/>
      <c r="G23" s="166" t="s">
        <v>73</v>
      </c>
      <c r="H23" s="211"/>
      <c r="I23" s="167"/>
      <c r="L23" s="175"/>
      <c r="M23" s="179"/>
      <c r="N23" s="175"/>
    </row>
    <row r="24" spans="1:14" x14ac:dyDescent="0.25">
      <c r="A24" s="180" t="s">
        <v>74</v>
      </c>
      <c r="B24" s="181"/>
      <c r="C24" s="182"/>
      <c r="D24" s="180" t="s">
        <v>75</v>
      </c>
      <c r="E24" s="186"/>
      <c r="F24" s="187"/>
      <c r="G24" s="180" t="s">
        <v>75</v>
      </c>
      <c r="H24" s="181"/>
      <c r="I24" s="182"/>
      <c r="K24" t="s">
        <v>4</v>
      </c>
      <c r="L24" s="17">
        <v>5.46</v>
      </c>
      <c r="M24" s="1"/>
      <c r="N24" s="52">
        <f>$I$18/12819.17*13.15</f>
        <v>0</v>
      </c>
    </row>
    <row r="25" spans="1:14" ht="15.75" thickBot="1" x14ac:dyDescent="0.3">
      <c r="A25" s="183"/>
      <c r="B25" s="184"/>
      <c r="C25" s="185"/>
      <c r="D25" s="188"/>
      <c r="E25" s="189"/>
      <c r="F25" s="190"/>
      <c r="G25" s="183"/>
      <c r="H25" s="184"/>
      <c r="I25" s="185"/>
      <c r="K25" t="s">
        <v>5</v>
      </c>
      <c r="L25" s="17">
        <v>3.99</v>
      </c>
      <c r="M25" s="1"/>
      <c r="N25" s="52">
        <f>$I$18/12819.17*13.15</f>
        <v>0</v>
      </c>
    </row>
    <row r="26" spans="1:14" ht="30" x14ac:dyDescent="0.25">
      <c r="A26" s="80" t="s">
        <v>8</v>
      </c>
      <c r="B26" s="81" t="s">
        <v>36</v>
      </c>
      <c r="C26" s="82" t="s">
        <v>11</v>
      </c>
      <c r="D26" s="83" t="s">
        <v>37</v>
      </c>
      <c r="E26" s="81"/>
      <c r="F26" s="82" t="s">
        <v>11</v>
      </c>
      <c r="G26" s="83" t="s">
        <v>76</v>
      </c>
      <c r="H26" s="81" t="s">
        <v>16</v>
      </c>
      <c r="I26" s="82" t="s">
        <v>11</v>
      </c>
      <c r="K26" t="s">
        <v>3</v>
      </c>
      <c r="L26" s="17">
        <v>4.5</v>
      </c>
      <c r="M26" s="1"/>
      <c r="N26" s="52">
        <f>$I$18/12819.17*13.15</f>
        <v>0</v>
      </c>
    </row>
    <row r="27" spans="1:14" x14ac:dyDescent="0.25">
      <c r="A27" s="84">
        <v>5.46</v>
      </c>
      <c r="B27" s="85">
        <f>ROUNDUP((IF($C$20="Yes",(I8-H8)*A27/1000,(I8)*A27/1000)),2)</f>
        <v>0</v>
      </c>
      <c r="C27" s="86">
        <f>ROUNDUP(ROUND(B27,2)*$A$39,2)</f>
        <v>0</v>
      </c>
      <c r="D27" s="87">
        <f>IF($C$20="Yes",(I8-H8)*400/1000,(I8)*400/1000)</f>
        <v>0</v>
      </c>
      <c r="E27" s="1"/>
      <c r="F27" s="88">
        <f>$E$39*D27</f>
        <v>0</v>
      </c>
      <c r="G27" s="89">
        <f>IF($C$20="Yes",I8-H8,I8)</f>
        <v>0</v>
      </c>
      <c r="H27" s="1">
        <f>IF(H8&gt;I8,$C$21/9216.42*2.74,$C$21/9216.42*18.97)</f>
        <v>31.443318077952174</v>
      </c>
      <c r="I27" s="90">
        <f>G27*H27</f>
        <v>0</v>
      </c>
      <c r="K27" t="s">
        <v>14</v>
      </c>
      <c r="L27" s="17">
        <v>10.5</v>
      </c>
      <c r="M27" s="1"/>
      <c r="N27" s="25"/>
    </row>
    <row r="28" spans="1:14" x14ac:dyDescent="0.25">
      <c r="A28" s="91">
        <v>3.99</v>
      </c>
      <c r="B28" s="85">
        <f>IF($C$20="Yes",(I9-H9)*A28/1000,(I9)*A28/1000)</f>
        <v>0</v>
      </c>
      <c r="C28" s="86">
        <f>ROUNDUP(ROUND(B28,2)*$A$39,2)</f>
        <v>0</v>
      </c>
      <c r="D28" s="87">
        <f>IF($C$20="Yes",(I9-H9)*400/1000,(I9)*400/1000)</f>
        <v>0</v>
      </c>
      <c r="E28" s="1"/>
      <c r="F28" s="88">
        <f>$E$39*D28</f>
        <v>0</v>
      </c>
      <c r="G28" s="89">
        <f>IF($C$20="Yes",I9-H9,I9)</f>
        <v>0</v>
      </c>
      <c r="H28" s="1">
        <f>IF(H9&gt;I9,$C$21/9216.42*2.74,$C$21/9216.42*18.97)</f>
        <v>31.443318077952174</v>
      </c>
      <c r="I28" s="90">
        <f t="shared" ref="I28:I37" si="0">G28*H28</f>
        <v>0</v>
      </c>
      <c r="K28" t="s">
        <v>15</v>
      </c>
      <c r="L28" s="23"/>
      <c r="M28" s="25"/>
      <c r="N28" s="52">
        <f>$I$18/12819.17*2450</f>
        <v>0</v>
      </c>
    </row>
    <row r="29" spans="1:14" x14ac:dyDescent="0.25">
      <c r="A29" s="91">
        <v>4.5</v>
      </c>
      <c r="B29" s="85">
        <f>IF($C$20="Yes",(I10-H10)*A29/1000,(I10)*A29/1000)</f>
        <v>0</v>
      </c>
      <c r="C29" s="86">
        <f>ROUNDUP(ROUND(B29,2)*$A$39,2)</f>
        <v>0</v>
      </c>
      <c r="D29" s="87">
        <f>IF($C$20="Yes",(I10-H10)*400/1000,(I10)*400/1000)</f>
        <v>0</v>
      </c>
      <c r="E29" s="1"/>
      <c r="F29" s="88">
        <f>$E$39*D29</f>
        <v>0</v>
      </c>
      <c r="G29" s="89">
        <f>IF($C$20="Yes",I10-H10,I10)</f>
        <v>0</v>
      </c>
      <c r="H29" s="1">
        <f>IF(H10&gt;I10,$C$21/9216.42*2.74,$C$21/9216.42*18.97)</f>
        <v>31.443318077952174</v>
      </c>
      <c r="I29" s="90">
        <f t="shared" si="0"/>
        <v>0</v>
      </c>
      <c r="K29" t="s">
        <v>1</v>
      </c>
      <c r="L29" s="17">
        <v>12.3</v>
      </c>
      <c r="M29" s="1"/>
      <c r="N29" s="52">
        <f>$I$18/12819.17*29.15</f>
        <v>0</v>
      </c>
    </row>
    <row r="30" spans="1:14" x14ac:dyDescent="0.25">
      <c r="A30" s="91">
        <v>10.5</v>
      </c>
      <c r="B30" s="85">
        <f>IF($C$20="Yes",(I11-H11)*A30/1000,(I11)*A30/1000)</f>
        <v>0</v>
      </c>
      <c r="C30" s="86">
        <f>ROUNDUP(ROUND(B30,2)*$A$39,2)</f>
        <v>0</v>
      </c>
      <c r="D30" s="87">
        <f>IF($C$20="Yes",(I11-H11)*400/1000,(I11)*400/1000)</f>
        <v>0</v>
      </c>
      <c r="E30" s="1"/>
      <c r="F30" s="88">
        <f>$E$39*D30</f>
        <v>0</v>
      </c>
      <c r="G30" s="89"/>
      <c r="H30" s="1"/>
      <c r="I30" s="90"/>
      <c r="K30" t="s">
        <v>38</v>
      </c>
      <c r="L30" s="17">
        <v>5.3</v>
      </c>
      <c r="M30" s="1"/>
      <c r="N30" s="52">
        <f>$I$18/12819.17*29.15</f>
        <v>0</v>
      </c>
    </row>
    <row r="31" spans="1:14" x14ac:dyDescent="0.25">
      <c r="A31" s="91"/>
      <c r="B31" s="85"/>
      <c r="C31" s="92"/>
      <c r="D31" s="87"/>
      <c r="E31" s="1"/>
      <c r="F31" s="88"/>
      <c r="G31" s="89">
        <f>IF($C$20="Yes",I12-H12,I12)</f>
        <v>0</v>
      </c>
      <c r="H31" s="1">
        <f>$C$21/9216.42*1065.49</f>
        <v>1766.0801781168827</v>
      </c>
      <c r="I31" s="90">
        <f t="shared" si="0"/>
        <v>0</v>
      </c>
      <c r="K31" t="s">
        <v>17</v>
      </c>
      <c r="L31" s="17">
        <v>11.7</v>
      </c>
      <c r="M31" s="1"/>
      <c r="N31" s="52">
        <f>$I$18/12819.17*25.42</f>
        <v>0</v>
      </c>
    </row>
    <row r="32" spans="1:14" x14ac:dyDescent="0.25">
      <c r="A32" s="91">
        <v>12.3</v>
      </c>
      <c r="B32" s="85">
        <f t="shared" ref="B32:B37" si="1">IF($C$20="Yes",(I13-H13)*A32/1000,(I13)*A32/1000)</f>
        <v>0</v>
      </c>
      <c r="C32" s="86">
        <f t="shared" ref="C32:C37" si="2">ROUNDUP(ROUND(B32,2)*$A$39,2)</f>
        <v>0</v>
      </c>
      <c r="D32" s="87">
        <f>IF($C$20="Yes",(I13-H13)*400/1000,(I13)*400/1000)</f>
        <v>0</v>
      </c>
      <c r="E32" s="1"/>
      <c r="F32" s="88">
        <f t="shared" ref="F32:F37" si="3">$E$39*D32</f>
        <v>0</v>
      </c>
      <c r="G32" s="89">
        <f>IF($C$20="Yes",I13-H13,I13)</f>
        <v>0</v>
      </c>
      <c r="H32" s="1">
        <f>$C$21/9216.42*4.57</f>
        <v>7.5749058311144681</v>
      </c>
      <c r="I32" s="90">
        <f t="shared" si="0"/>
        <v>0</v>
      </c>
      <c r="K32" t="s">
        <v>6</v>
      </c>
      <c r="L32" s="17">
        <v>56.3</v>
      </c>
      <c r="M32" s="1"/>
      <c r="N32" s="52">
        <f t="shared" ref="N32:N33" si="4">$I$18/12819.17*29.15</f>
        <v>0</v>
      </c>
    </row>
    <row r="33" spans="1:14" x14ac:dyDescent="0.25">
      <c r="A33" s="91">
        <v>5.3</v>
      </c>
      <c r="B33" s="85">
        <f t="shared" si="1"/>
        <v>0</v>
      </c>
      <c r="C33" s="86">
        <f t="shared" si="2"/>
        <v>0</v>
      </c>
      <c r="D33" s="87">
        <f t="shared" ref="D33:D37" si="5">IF($C$20="Yes",(I14-H14)*400/1000,(I14)*400/1000)</f>
        <v>0</v>
      </c>
      <c r="E33" s="1"/>
      <c r="F33" s="88">
        <f t="shared" si="3"/>
        <v>0</v>
      </c>
      <c r="G33" s="89">
        <f t="shared" ref="G33:G37" si="6">IF($C$20="Yes",I14-H14,I14)</f>
        <v>0</v>
      </c>
      <c r="H33" s="1">
        <f>$C$21/9216.42*4.57</f>
        <v>7.5749058311144681</v>
      </c>
      <c r="I33" s="90">
        <f t="shared" si="0"/>
        <v>0</v>
      </c>
      <c r="K33" t="s">
        <v>7</v>
      </c>
      <c r="L33" s="17">
        <v>164.4</v>
      </c>
      <c r="M33" s="1"/>
      <c r="N33" s="52">
        <f t="shared" si="4"/>
        <v>0</v>
      </c>
    </row>
    <row r="34" spans="1:14" x14ac:dyDescent="0.25">
      <c r="A34" s="91">
        <v>11.7</v>
      </c>
      <c r="B34" s="85">
        <f t="shared" si="1"/>
        <v>0</v>
      </c>
      <c r="C34" s="86">
        <f t="shared" si="2"/>
        <v>0</v>
      </c>
      <c r="D34" s="87">
        <f t="shared" si="5"/>
        <v>0</v>
      </c>
      <c r="E34" s="1"/>
      <c r="F34" s="88">
        <f t="shared" si="3"/>
        <v>0</v>
      </c>
      <c r="G34" s="89">
        <f t="shared" si="6"/>
        <v>0</v>
      </c>
      <c r="H34" s="1">
        <f>$C$21/9216.42*18.97</f>
        <v>31.443318077952174</v>
      </c>
      <c r="I34" s="90">
        <f t="shared" si="0"/>
        <v>0</v>
      </c>
      <c r="K34" t="s">
        <v>2</v>
      </c>
      <c r="L34" s="17">
        <v>48</v>
      </c>
      <c r="M34" s="1"/>
      <c r="N34" s="52">
        <f>$I$18/12819.17*25.42</f>
        <v>0</v>
      </c>
    </row>
    <row r="35" spans="1:14" x14ac:dyDescent="0.25">
      <c r="A35" s="91">
        <v>56.3</v>
      </c>
      <c r="B35" s="85">
        <f t="shared" si="1"/>
        <v>0</v>
      </c>
      <c r="C35" s="86">
        <f t="shared" si="2"/>
        <v>0</v>
      </c>
      <c r="D35" s="87">
        <f>IF($C$20="Yes",(I16-H16)*400/1000,(I16)*400/1000)</f>
        <v>0</v>
      </c>
      <c r="E35" s="1"/>
      <c r="F35" s="88">
        <f t="shared" si="3"/>
        <v>0</v>
      </c>
      <c r="G35" s="89">
        <f>IF($C$20="Yes",I16-H16,I16)</f>
        <v>0</v>
      </c>
      <c r="H35" s="1">
        <f>$C$21/9216.42*18.97</f>
        <v>31.443318077952174</v>
      </c>
      <c r="I35" s="90">
        <f t="shared" si="0"/>
        <v>0</v>
      </c>
      <c r="K35" t="s">
        <v>47</v>
      </c>
      <c r="L35" s="17">
        <v>10</v>
      </c>
      <c r="M35" s="1"/>
      <c r="N35" s="25"/>
    </row>
    <row r="36" spans="1:14" x14ac:dyDescent="0.25">
      <c r="A36" s="91">
        <v>164.4</v>
      </c>
      <c r="B36" s="85">
        <f t="shared" si="1"/>
        <v>0</v>
      </c>
      <c r="C36" s="86">
        <f t="shared" si="2"/>
        <v>0</v>
      </c>
      <c r="D36" s="87">
        <f>IF($C$20="Yes",(I17-H17)*400/1000,(I17)*400/1000)</f>
        <v>0</v>
      </c>
      <c r="E36" s="1"/>
      <c r="F36" s="88">
        <f t="shared" si="3"/>
        <v>0</v>
      </c>
      <c r="G36" s="89">
        <f>IF($C$20="Yes",I17-H17,I17)</f>
        <v>0</v>
      </c>
      <c r="H36" s="1">
        <f>$C$21/9216.42*18.97</f>
        <v>31.443318077952174</v>
      </c>
      <c r="I36" s="90">
        <f t="shared" si="0"/>
        <v>0</v>
      </c>
      <c r="K36" t="s">
        <v>48</v>
      </c>
      <c r="L36" s="23"/>
      <c r="M36" s="25"/>
      <c r="N36" s="52">
        <f>$I$18/12819.17*6721.37</f>
        <v>0</v>
      </c>
    </row>
    <row r="37" spans="1:14" x14ac:dyDescent="0.25">
      <c r="A37" s="93">
        <v>48</v>
      </c>
      <c r="B37" s="94">
        <f t="shared" si="1"/>
        <v>0</v>
      </c>
      <c r="C37" s="95">
        <f t="shared" si="2"/>
        <v>0</v>
      </c>
      <c r="D37" s="96">
        <f t="shared" si="5"/>
        <v>0</v>
      </c>
      <c r="E37" s="97"/>
      <c r="F37" s="98">
        <f t="shared" si="3"/>
        <v>0</v>
      </c>
      <c r="G37" s="99">
        <f t="shared" si="6"/>
        <v>0</v>
      </c>
      <c r="H37" s="97">
        <f>$C$21/9216.42*18.97</f>
        <v>31.443318077952174</v>
      </c>
      <c r="I37" s="100">
        <f t="shared" si="0"/>
        <v>0</v>
      </c>
      <c r="K37" t="s">
        <v>49</v>
      </c>
      <c r="L37" s="28"/>
      <c r="M37" s="29"/>
      <c r="N37" s="53">
        <f>$I$18/12819.17*3873.3</f>
        <v>0</v>
      </c>
    </row>
    <row r="38" spans="1:14" ht="15" customHeight="1" x14ac:dyDescent="0.25">
      <c r="A38" s="2" t="s">
        <v>12</v>
      </c>
      <c r="B38" s="101"/>
      <c r="C38" s="102"/>
      <c r="D38" s="2" t="s">
        <v>18</v>
      </c>
      <c r="E38" s="15" t="s">
        <v>13</v>
      </c>
      <c r="F38" s="5"/>
      <c r="G38" s="2"/>
      <c r="H38" s="15"/>
      <c r="I38" s="5"/>
      <c r="L38" s="2" t="s">
        <v>12</v>
      </c>
      <c r="M38" s="2" t="s">
        <v>13</v>
      </c>
      <c r="N38" s="15"/>
    </row>
    <row r="39" spans="1:14" ht="15.75" customHeight="1" thickBot="1" x14ac:dyDescent="0.3">
      <c r="A39" s="103">
        <f>$C$21/6552.16*154</f>
        <v>359.05379600009763</v>
      </c>
      <c r="B39" s="14"/>
      <c r="C39" s="6">
        <f>IF(SUM(C27:C37)&lt;0,0,SUM(C27:C37))</f>
        <v>0</v>
      </c>
      <c r="D39" s="104">
        <f>SUM(D27:D38)</f>
        <v>0</v>
      </c>
      <c r="E39" s="105">
        <f>$C$21/7644.46*3.19</f>
        <v>6.3748088419587514</v>
      </c>
      <c r="F39" s="6">
        <f>IF(SUM(F27:F37)&lt;0,0,SUM(F27:F37))</f>
        <v>0</v>
      </c>
      <c r="G39" s="3"/>
      <c r="H39" s="4"/>
      <c r="I39" s="6">
        <f>IF(SUM(I27:I37)&lt;0,0,SUM(I27:I37))</f>
        <v>0</v>
      </c>
      <c r="L39" s="57">
        <f>I18/6552.16*154</f>
        <v>0</v>
      </c>
      <c r="M39" s="54">
        <f>I18/7644.46*3.19</f>
        <v>0</v>
      </c>
      <c r="N39" s="4"/>
    </row>
    <row r="40" spans="1:14" x14ac:dyDescent="0.25">
      <c r="C40" s="30" t="str">
        <f>IF(OR(AND(C35&gt;0,(C36+C37)=0),AND(C35=0,(C36+C37)&gt;0),AND(C27&gt;0,C28=0),AND(C27=0,C28&gt;0),AND(D35&gt;0,(D36+D37)=0),AND(D35=0,(D36+D37)&gt;0),AND(D27&gt;0,D28=0),AND(D27=0,D28&gt;0)),"Please provide both the AREA and UNITS for Hotel and Residential","")</f>
        <v/>
      </c>
      <c r="D40" s="30"/>
    </row>
    <row r="42" spans="1:14" x14ac:dyDescent="0.25">
      <c r="C42" s="31"/>
    </row>
    <row r="43" spans="1:14" x14ac:dyDescent="0.25">
      <c r="C43" s="31"/>
    </row>
  </sheetData>
  <sheetProtection selectLockedCells="1"/>
  <protectedRanges>
    <protectedRange sqref="C18:D19 C20" name="Staff Table_1"/>
    <protectedRange sqref="H8:I18" name="Areas Table_1"/>
    <protectedRange sqref="C13:D16" name="Applicant Info_1"/>
  </protectedRanges>
  <mergeCells count="46">
    <mergeCell ref="A17:D17"/>
    <mergeCell ref="F17:G17"/>
    <mergeCell ref="A14:B14"/>
    <mergeCell ref="C14:D14"/>
    <mergeCell ref="A15:B15"/>
    <mergeCell ref="C15:D15"/>
    <mergeCell ref="F16:G16"/>
    <mergeCell ref="L22:L23"/>
    <mergeCell ref="M22:M23"/>
    <mergeCell ref="N22:N23"/>
    <mergeCell ref="A18:B18"/>
    <mergeCell ref="C18:D18"/>
    <mergeCell ref="L19:N20"/>
    <mergeCell ref="F18:G18"/>
    <mergeCell ref="A19:B19"/>
    <mergeCell ref="C19:D19"/>
    <mergeCell ref="F19:G19"/>
    <mergeCell ref="A20:B20"/>
    <mergeCell ref="H21:I21"/>
    <mergeCell ref="A23:C23"/>
    <mergeCell ref="D23:F23"/>
    <mergeCell ref="G23:I23"/>
    <mergeCell ref="A1:I1"/>
    <mergeCell ref="A2:I2"/>
    <mergeCell ref="A3:I3"/>
    <mergeCell ref="F5:G7"/>
    <mergeCell ref="H5:I5"/>
    <mergeCell ref="A6:D8"/>
    <mergeCell ref="F8:G8"/>
    <mergeCell ref="F9:G9"/>
    <mergeCell ref="F10:G10"/>
    <mergeCell ref="A16:B16"/>
    <mergeCell ref="C16:D16"/>
    <mergeCell ref="F11:G11"/>
    <mergeCell ref="A12:D12"/>
    <mergeCell ref="F12:G12"/>
    <mergeCell ref="A13:B13"/>
    <mergeCell ref="C13:D13"/>
    <mergeCell ref="F13:G13"/>
    <mergeCell ref="F14:G14"/>
    <mergeCell ref="F15:G15"/>
    <mergeCell ref="A24:C25"/>
    <mergeCell ref="D24:F25"/>
    <mergeCell ref="G24:I25"/>
    <mergeCell ref="A21:B21"/>
    <mergeCell ref="F21:G21"/>
  </mergeCells>
  <conditionalFormatting sqref="C40:D40">
    <cfRule type="expression" dxfId="1" priority="2">
      <formula>$C$21&lt;&gt;$I$24</formula>
    </cfRule>
  </conditionalFormatting>
  <conditionalFormatting sqref="I19 H20">
    <cfRule type="expression" dxfId="0" priority="1">
      <formula>$C$16&lt;&gt;$I$19</formula>
    </cfRule>
  </conditionalFormatting>
  <dataValidations count="1">
    <dataValidation type="list" allowBlank="1" showInputMessage="1" showErrorMessage="1" sqref="C20" xr:uid="{79BCD65E-38A0-41D2-B972-D84DC8A0089A}">
      <formula1>"Yes, No"</formula1>
    </dataValidation>
  </dataValidations>
  <printOptions horizontalCentered="1"/>
  <pageMargins left="0.25" right="0.25" top="0.75" bottom="0.75" header="0.3" footer="0.3"/>
  <pageSetup scale="83" orientation="landscape" horizontalDpi="1200" verticalDpi="1200" r:id="rId1"/>
  <headerFooter>
    <oddFooter>&amp;L&amp;10&amp;K00-038Created October 26 ,2020&amp;R&amp;9&amp;K00-037&amp;Z&amp;F</oddFooter>
  </headerFooter>
  <ignoredErrors>
    <ignoredError sqref="H33"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Current Eng Impact Fees</vt:lpstr>
      <vt:lpstr>Prior to Nov 22, 2020</vt:lpstr>
      <vt:lpstr>'Current Eng Impact Fees'!Print_Area</vt:lpstr>
      <vt:lpstr>'Prior to Nov 22, 2020'!Print_Area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B.</dc:creator>
  <cp:lastModifiedBy>Parker, Amanda</cp:lastModifiedBy>
  <cp:lastPrinted>2024-08-01T17:05:11Z</cp:lastPrinted>
  <dcterms:created xsi:type="dcterms:W3CDTF">2017-06-22T14:03:33Z</dcterms:created>
  <dcterms:modified xsi:type="dcterms:W3CDTF">2025-07-03T21:07:13Z</dcterms:modified>
</cp:coreProperties>
</file>